
<file path=[Content_Types].xml><?xml version="1.0" encoding="utf-8"?>
<Types xmlns="http://schemas.openxmlformats.org/package/2006/content-types"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vehicle-classification-HIT-cost" sheetId="1" r:id="rId4"/>
    <sheet state="visible" name="vehicle-identification-HIT-cost" sheetId="2" r:id="rId5"/>
    <sheet state="visible" name="sub-image-count-calculator" sheetId="3" r:id="rId6"/>
    <sheet state="visible" name="aws-s3-cost-breakdown" sheetId="4" r:id="rId7"/>
    <sheet state="visible" name="aws-s3-storage_costs" sheetId="5" r:id="rId8"/>
  </sheets>
  <definedNames/>
  <calcPr/>
  <extLst>
    <ext uri="GoogleSheetsCustomDataVersion1">
      <go:sheetsCustomData xmlns:go="http://customooxmlschemas.google.com/" r:id="rId9" roundtripDataSignature="AMtx7miBNn5EM2uxE4Q4SKg3KYRXL0n9ZQ=="/>
    </ext>
  </extLst>
</workbook>
</file>

<file path=xl/sharedStrings.xml><?xml version="1.0" encoding="utf-8"?>
<sst xmlns="http://schemas.openxmlformats.org/spreadsheetml/2006/main" count="164" uniqueCount="120">
  <si>
    <t>Vehicle classification Task : Mechanical Turk estimated costs</t>
  </si>
  <si>
    <t>Assuming expected duration of task as the paid duration of task. Some tasks for classification and for purpose of network connectivity and convenience of workers, we assume 25-30% additional duration to complete a task. We are not choosing master workers.**</t>
  </si>
  <si>
    <t xml:space="preserve">Total # of Vehicles
</t>
  </si>
  <si>
    <t>$15 per hour rate</t>
  </si>
  <si>
    <t xml:space="preserve"># of vehicles per HIT </t>
  </si>
  <si>
    <t>Expected duration to complete the task (minutes)</t>
  </si>
  <si>
    <t>Cost for Expected duration to complete the task ($) 
( hourly cost * Expected duration to complete task /60 )</t>
  </si>
  <si>
    <t>MTurk commission ($)</t>
  </si>
  <si>
    <t>Total cost per task ($)
Cost per Expected duration + MTurk Commission</t>
  </si>
  <si>
    <t>Total # of HITs 
(# of vehicles per task)</t>
  </si>
  <si>
    <t># of assignments per HIT</t>
  </si>
  <si>
    <t>Total # of assignments
( total # of HITS * # of worker assignments per each HIT)</t>
  </si>
  <si>
    <t>Total cost for entire Selwyn dataset classification task
Total # of assignments * (Cost per duration + MTurk commission)</t>
  </si>
  <si>
    <t>SELWYN dataset : 
20 vehicles per HIT</t>
  </si>
  <si>
    <t>Example:</t>
  </si>
  <si>
    <t>Number of images in a single HIT task</t>
  </si>
  <si>
    <t>Expected duration to complete this task in minutes</t>
  </si>
  <si>
    <t>SELWYN dataset : 
25 vehicles per HIT</t>
  </si>
  <si>
    <t>Cost per hour</t>
  </si>
  <si>
    <t>Cost for expected duration of task (hourly cost * duration / 60)</t>
  </si>
  <si>
    <t>MTurk commission</t>
  </si>
  <si>
    <t>SELWYN dataset : 
30 vehicles per HIT</t>
  </si>
  <si>
    <t>Cost for this task including commission
(Cost for this task + MTurk Commission)</t>
  </si>
  <si>
    <t>Number of assignments for single HIT (# of workers allowed to work on this HIT)</t>
  </si>
  <si>
    <t>Total cost for this HIT
# of workers for this HIT * cost with commission</t>
  </si>
  <si>
    <t>example : 
25 vehicles per HIT</t>
  </si>
  <si>
    <t>Mturk Estimate Calculator:</t>
  </si>
  <si>
    <t xml:space="preserve">https://morninj.github.io/mechanical-turk-cost-calculator/ </t>
  </si>
  <si>
    <t>Vehicle Identification Task : Mechanical Turk estimated costs</t>
  </si>
  <si>
    <t>This is a single class keypoint marking task. There is only one class "All Vehicles". Depending on density of vehicles in a given sub-image in the task, we assume maximum duration of task to be 25% since keypoint task marks center of bounding box of a vehicle only.</t>
  </si>
  <si>
    <t>Size of single main image in pixels</t>
  </si>
  <si>
    <t>Sub-Image size</t>
  </si>
  <si>
    <t>Total # of sub-images</t>
  </si>
  <si>
    <t># of Images included in a single task</t>
  </si>
  <si>
    <t>Expected duration to complete the task in minutes</t>
  </si>
  <si>
    <t>Max duration per task in minutes 
(due to uneven distribution of vehicles in each image : such as parking lot vs farm land)</t>
  </si>
  <si>
    <t>Cost for Expected duration ($) 
( hourly cost * Expected duration to complete the task in minutes / 60)</t>
  </si>
  <si>
    <t>Total # of HITs
(Total # of sub-images / # of images included in task)</t>
  </si>
  <si>
    <t># of worker assignments per each HIT</t>
  </si>
  <si>
    <t>Total # of assignments
( total # of HITS * # of assignments per each HIT)</t>
  </si>
  <si>
    <t>Total cost for entire dataset classification task
(Total # of assignments * (Cost for Expected duration to complete the task + MTurk commission))</t>
  </si>
  <si>
    <t>New dataset : 
5 Images per HIT</t>
  </si>
  <si>
    <t>16000*16000</t>
  </si>
  <si>
    <t>400*400</t>
  </si>
  <si>
    <t>19094*12918</t>
  </si>
  <si>
    <t>18934*13179</t>
  </si>
  <si>
    <t>New dataset : 
10 Images per HIT</t>
  </si>
  <si>
    <t>New dataset : 
15 Images per HIT</t>
  </si>
  <si>
    <t>New dataset : 
20 Images per HIT</t>
  </si>
  <si>
    <t>We know there are 15980 vehicles for Selwyn dataset</t>
  </si>
  <si>
    <t>But we did not use sub-image generation method for annotating Selwyn dataset.</t>
  </si>
  <si>
    <t>Cost for expected duration of task
 (hourly cost * duration / 60)</t>
  </si>
  <si>
    <t>Sliding window with overlap for generating sub-images for vehicle identifiication</t>
  </si>
  <si>
    <t>Image size in pixels</t>
  </si>
  <si>
    <t>Height in pixels</t>
  </si>
  <si>
    <t>Width in pixels</t>
  </si>
  <si>
    <t>Sliding window size</t>
  </si>
  <si>
    <t>overlap</t>
  </si>
  <si>
    <t>Stride</t>
  </si>
  <si>
    <t xml:space="preserve">Number of rows (along y-axis i.e. height) </t>
  </si>
  <si>
    <t>Number of columns (along x-axis i.e. width)</t>
  </si>
  <si>
    <t># of Sub-Images</t>
  </si>
  <si>
    <t>Main image size to be annotated (pixels):</t>
  </si>
  <si>
    <t>Sliding window size (pixels):</t>
  </si>
  <si>
    <t>Overlap in %</t>
  </si>
  <si>
    <t xml:space="preserve">Example of </t>
  </si>
  <si>
    <t>Stride (with overlap)
Sliding window size * (1- overlap %)</t>
  </si>
  <si>
    <t>row 1, column 1
(y1, x1)</t>
  </si>
  <si>
    <t>row1, column 2
(y1, x2)</t>
  </si>
  <si>
    <t>row 2, column 3
(y1, x3)</t>
  </si>
  <si>
    <t>Number of rows (along y-axis)</t>
  </si>
  <si>
    <t>Number of columns (along x-axis)</t>
  </si>
  <si>
    <t>Number of sub-images 
(Number of points along height * Number of points along width)</t>
  </si>
  <si>
    <t>&lt;- Sliding window with overlap</t>
  </si>
  <si>
    <t>S3 requirements</t>
  </si>
  <si>
    <t xml:space="preserve">Numbers </t>
  </si>
  <si>
    <t>How much storage we expect</t>
  </si>
  <si>
    <t>Number of images we may store in a month</t>
  </si>
  <si>
    <t>Each image we upload for mTurk Task, is a PUT request</t>
  </si>
  <si>
    <t>Each image we retrieve by url from S3 is a GET request</t>
  </si>
  <si>
    <t>Each image will be GET request when we do a HIT: Number of requests</t>
  </si>
  <si>
    <t>Atleats 3 to 5 workers access the each HIT. Max 5 workers. So number of requests * number of workers who access it</t>
  </si>
  <si>
    <t>WE have two sets of HITS each: 1 for vechicle classification and anotehr for vehicle identification</t>
  </si>
  <si>
    <t>But GET and PUT request costs are different</t>
  </si>
  <si>
    <t>Total PUT request costs</t>
  </si>
  <si>
    <t>Total GET request costs</t>
  </si>
  <si>
    <t>WE expect workers from different regions. WE choose US EAST (Virginia) region (aka data center) for our storage.</t>
  </si>
  <si>
    <t>FREE</t>
  </si>
  <si>
    <t>For Data inbound transfers: we don’t transfer from other regiosn to US east . But its free from S3.</t>
  </si>
  <si>
    <t>We may not really transfer outbound to other regions since we don’t "host" any websites. But I guess, any user outside of USA accesses S3 image url, will be downloading/browsing data. In such case the cost may be applicable. Its possible USA citizen accessing HIT from another country. Its unclear how current location of worker is determined. (non-static worker lcoation information).</t>
  </si>
  <si>
    <t>Data returned and scanned by S3 is cost for uploading to S3 using API/manually uploading data</t>
  </si>
  <si>
    <t>Data scanned is data S3 scans for our query when we login to S3 console or when we use AWS S3 Python API</t>
  </si>
  <si>
    <t>Data returned by S3 is data S3 returns from scanned data when we access AWS S3 console or S3 Python Api</t>
  </si>
  <si>
    <t>Total cost of data scanning 4 times for my API queries:</t>
  </si>
  <si>
    <t>Total storage cost for 50GB @ $0.023 per GB rate</t>
  </si>
  <si>
    <t>Final total expected cost for S3 storage per month</t>
  </si>
  <si>
    <t>S3 Storage costs</t>
  </si>
  <si>
    <t>S3 : US EAST (Ohio) Region</t>
  </si>
  <si>
    <t>GB (Gigabytes)</t>
  </si>
  <si>
    <t>Cost per tiered storage</t>
  </si>
  <si>
    <t># of PUT requests</t>
  </si>
  <si>
    <t>Cost per PUT, POST request</t>
  </si>
  <si>
    <t># of GET requests</t>
  </si>
  <si>
    <t>Cost per GET request</t>
  </si>
  <si>
    <t>Data returned by S3</t>
  </si>
  <si>
    <t>Data Scanned by S3</t>
  </si>
  <si>
    <t>Total cost</t>
  </si>
  <si>
    <t>LINZ keypoint</t>
  </si>
  <si>
    <t>LINZ classify</t>
  </si>
  <si>
    <t>Minimal Storage per month</t>
  </si>
  <si>
    <t># of subimages</t>
  </si>
  <si>
    <t>Storage per Image in KB</t>
  </si>
  <si>
    <t>Total Storage in GB</t>
  </si>
  <si>
    <t># of annotations</t>
  </si>
  <si>
    <t>Storage per image in KB</t>
  </si>
  <si>
    <t>**Assuming All regions InBound and Outbound traffic on Data transfer - which is FREE</t>
  </si>
  <si>
    <t># of HITS</t>
  </si>
  <si>
    <t xml:space="preserve"># of classify HITS </t>
  </si>
  <si>
    <t xml:space="preserve">S3 Estimate Calculator: </t>
  </si>
  <si>
    <t>https://calculator.aws/#/estimate?id=6e04451af4877af09a3e4cfce68d4c60dc2fa05d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</si>
</sst>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7">
    <numFmt numFmtId="164" formatCode="&quot;$&quot;#,##0.00"/>
    <numFmt numFmtId="165" formatCode="&quot;$&quot;#,##0.00000000"/>
    <numFmt numFmtId="166" formatCode="&quot;$&quot;#,##0.000"/>
    <numFmt numFmtId="167" formatCode="[&lt;1000000]0.00,&quot; KB&quot;;[&lt;1000000000]0.00,,&quot; MB&quot;;0,,,&quot; GB&quot;"/>
    <numFmt numFmtId="168" formatCode="[&lt;1000000]0,&quot; KB&quot;;[&lt;1000000000]0.00,,&quot; MB&quot;;0.00,,,&quot; GB&quot;"/>
    <numFmt numFmtId="169" formatCode="_(&quot;$&quot;* #,##0.00_);_(&quot;$&quot;* \(#,##0.00\);_(&quot;$&quot;* &quot;-&quot;??_);_(@_)"/>
    <numFmt numFmtId="170" formatCode="&quot;$&quot;#,##0.0000000"/>
  </numFmts>
  <fonts count="10">
    <font>
      <sz val="11.0"/>
      <color theme="1"/>
      <name val="Arial"/>
    </font>
    <font>
      <b/>
      <sz val="16.0"/>
      <color theme="1"/>
      <name val="Calibri"/>
    </font>
    <font/>
    <font>
      <sz val="11.0"/>
      <color theme="1"/>
      <name val="Calibri"/>
    </font>
    <font>
      <b/>
      <sz val="11.0"/>
      <color theme="1"/>
      <name val="Calibri"/>
    </font>
    <font>
      <color theme="1"/>
      <name val="Calibri"/>
    </font>
    <font>
      <sz val="11.0"/>
      <color rgb="FF000000"/>
      <name val="Calibri"/>
    </font>
    <font>
      <u/>
      <sz val="11.0"/>
      <color theme="10"/>
      <name val="Arial"/>
    </font>
    <font>
      <u/>
      <sz val="11.0"/>
      <color theme="10"/>
      <name val="Calibri"/>
    </font>
    <font>
      <b/>
      <sz val="12.0"/>
      <color theme="1"/>
      <name val="Calibri"/>
    </font>
  </fonts>
  <fills count="9">
    <fill>
      <patternFill patternType="none"/>
    </fill>
    <fill>
      <patternFill patternType="lightGray"/>
    </fill>
    <fill>
      <patternFill patternType="solid">
        <fgColor rgb="FFD6DCE4"/>
        <bgColor rgb="FFD6DCE4"/>
      </patternFill>
    </fill>
    <fill>
      <patternFill patternType="solid">
        <fgColor rgb="FFF3F3F3"/>
        <bgColor rgb="FFF3F3F3"/>
      </patternFill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  <fill>
      <patternFill patternType="solid">
        <fgColor rgb="FFC9DAF8"/>
        <bgColor rgb="FFC9DAF8"/>
      </patternFill>
    </fill>
    <fill>
      <patternFill patternType="solid">
        <fgColor rgb="FFE7E6E6"/>
        <bgColor rgb="FFE7E6E6"/>
      </patternFill>
    </fill>
    <fill>
      <patternFill patternType="solid">
        <fgColor rgb="FFFFFF00"/>
        <bgColor rgb="FFFFFF00"/>
      </patternFill>
    </fill>
  </fills>
  <borders count="18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right style="thin">
        <color rgb="FF000000"/>
      </right>
      <bottom/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112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/>
    </xf>
    <xf borderId="2" fillId="0" fontId="2" numFmtId="0" xfId="0" applyBorder="1" applyFont="1"/>
    <xf borderId="2" fillId="2" fontId="1" numFmtId="0" xfId="0" applyAlignment="1" applyBorder="1" applyFont="1">
      <alignment horizontal="center"/>
    </xf>
    <xf borderId="3" fillId="2" fontId="1" numFmtId="0" xfId="0" applyAlignment="1" applyBorder="1" applyFont="1">
      <alignment horizontal="center"/>
    </xf>
    <xf borderId="1" fillId="2" fontId="3" numFmtId="0" xfId="0" applyAlignment="1" applyBorder="1" applyFont="1">
      <alignment readingOrder="0" shrinkToFit="0" wrapText="1"/>
    </xf>
    <xf borderId="3" fillId="0" fontId="2" numFmtId="0" xfId="0" applyBorder="1" applyFont="1"/>
    <xf borderId="0" fillId="2" fontId="4" numFmtId="0" xfId="0" applyAlignment="1" applyFont="1">
      <alignment shrinkToFit="0" wrapText="1"/>
    </xf>
    <xf borderId="0" fillId="2" fontId="4" numFmtId="0" xfId="0" applyAlignment="1" applyFont="1">
      <alignment horizontal="center" shrinkToFit="0" wrapText="1"/>
    </xf>
    <xf borderId="4" fillId="2" fontId="4" numFmtId="0" xfId="0" applyBorder="1" applyFont="1"/>
    <xf borderId="4" fillId="2" fontId="4" numFmtId="0" xfId="0" applyAlignment="1" applyBorder="1" applyFont="1">
      <alignment readingOrder="0" shrinkToFit="0" wrapText="1"/>
    </xf>
    <xf borderId="5" fillId="3" fontId="3" numFmtId="0" xfId="0" applyAlignment="1" applyBorder="1" applyFill="1" applyFont="1">
      <alignment readingOrder="0"/>
    </xf>
    <xf borderId="4" fillId="3" fontId="3" numFmtId="0" xfId="0" applyAlignment="1" applyBorder="1" applyFont="1">
      <alignment horizontal="center" vertical="center"/>
    </xf>
    <xf borderId="4" fillId="3" fontId="5" numFmtId="164" xfId="0" applyAlignment="1" applyBorder="1" applyFont="1" applyNumberFormat="1">
      <alignment horizontal="center" readingOrder="0" vertical="center"/>
    </xf>
    <xf borderId="5" fillId="3" fontId="3" numFmtId="0" xfId="0" applyAlignment="1" applyBorder="1" applyFont="1">
      <alignment horizontal="center" vertical="center"/>
    </xf>
    <xf borderId="5" fillId="3" fontId="5" numFmtId="0" xfId="0" applyAlignment="1" applyBorder="1" applyFont="1">
      <alignment horizontal="center" readingOrder="0" vertical="center"/>
    </xf>
    <xf borderId="5" fillId="3" fontId="3" numFmtId="164" xfId="0" applyAlignment="1" applyBorder="1" applyFont="1" applyNumberFormat="1">
      <alignment horizontal="center" vertical="center"/>
    </xf>
    <xf borderId="4" fillId="3" fontId="3" numFmtId="164" xfId="0" applyAlignment="1" applyBorder="1" applyFont="1" applyNumberFormat="1">
      <alignment horizontal="center" vertical="center"/>
    </xf>
    <xf borderId="4" fillId="3" fontId="3" numFmtId="1" xfId="0" applyAlignment="1" applyBorder="1" applyFont="1" applyNumberFormat="1">
      <alignment horizontal="center" vertical="center"/>
    </xf>
    <xf borderId="4" fillId="3" fontId="3" numFmtId="164" xfId="0" applyAlignment="1" applyBorder="1" applyFont="1" applyNumberFormat="1">
      <alignment horizontal="center" vertical="center"/>
    </xf>
    <xf borderId="0" fillId="0" fontId="5" numFmtId="0" xfId="0" applyAlignment="1" applyFont="1">
      <alignment readingOrder="0"/>
    </xf>
    <xf borderId="0" fillId="4" fontId="3" numFmtId="0" xfId="0" applyAlignment="1" applyFill="1" applyFont="1">
      <alignment shrinkToFit="0" wrapText="1"/>
    </xf>
    <xf borderId="6" fillId="0" fontId="2" numFmtId="0" xfId="0" applyBorder="1" applyFont="1"/>
    <xf borderId="4" fillId="3" fontId="3" numFmtId="1" xfId="0" applyAlignment="1" applyBorder="1" applyFont="1" applyNumberFormat="1">
      <alignment horizontal="center" readingOrder="0" vertical="center"/>
    </xf>
    <xf borderId="0" fillId="0" fontId="5" numFmtId="0" xfId="0" applyAlignment="1" applyFont="1">
      <alignment readingOrder="0" shrinkToFit="0" wrapText="1"/>
    </xf>
    <xf borderId="0" fillId="4" fontId="3" numFmtId="0" xfId="0" applyAlignment="1" applyFont="1">
      <alignment readingOrder="0" shrinkToFit="0" wrapText="1"/>
    </xf>
    <xf borderId="7" fillId="0" fontId="2" numFmtId="0" xfId="0" applyBorder="1" applyFont="1"/>
    <xf borderId="5" fillId="5" fontId="3" numFmtId="0" xfId="0" applyAlignment="1" applyBorder="1" applyFill="1" applyFont="1">
      <alignment readingOrder="0"/>
    </xf>
    <xf borderId="5" fillId="5" fontId="3" numFmtId="0" xfId="0" applyAlignment="1" applyBorder="1" applyFont="1">
      <alignment horizontal="center" vertical="center"/>
    </xf>
    <xf borderId="4" fillId="5" fontId="5" numFmtId="164" xfId="0" applyAlignment="1" applyBorder="1" applyFont="1" applyNumberFormat="1">
      <alignment horizontal="center" readingOrder="0" vertical="center"/>
    </xf>
    <xf borderId="5" fillId="5" fontId="5" numFmtId="0" xfId="0" applyAlignment="1" applyBorder="1" applyFont="1">
      <alignment horizontal="center" readingOrder="0" vertical="center"/>
    </xf>
    <xf borderId="5" fillId="5" fontId="3" numFmtId="164" xfId="0" applyAlignment="1" applyBorder="1" applyFont="1" applyNumberFormat="1">
      <alignment horizontal="center" vertical="center"/>
    </xf>
    <xf borderId="5" fillId="5" fontId="3" numFmtId="164" xfId="0" applyAlignment="1" applyBorder="1" applyFont="1" applyNumberFormat="1">
      <alignment horizontal="center" readingOrder="0" vertical="center"/>
    </xf>
    <xf borderId="8" fillId="5" fontId="3" numFmtId="1" xfId="0" applyAlignment="1" applyBorder="1" applyFont="1" applyNumberFormat="1">
      <alignment horizontal="center" vertical="center"/>
    </xf>
    <xf borderId="8" fillId="5" fontId="3" numFmtId="0" xfId="0" applyAlignment="1" applyBorder="1" applyFont="1">
      <alignment horizontal="center" vertical="center"/>
    </xf>
    <xf borderId="0" fillId="0" fontId="3" numFmtId="164" xfId="0" applyAlignment="1" applyFont="1" applyNumberFormat="1">
      <alignment readingOrder="0"/>
    </xf>
    <xf borderId="0" fillId="0" fontId="3" numFmtId="0" xfId="0" applyFont="1"/>
    <xf borderId="0" fillId="4" fontId="4" numFmtId="0" xfId="0" applyFont="1"/>
    <xf borderId="0" fillId="4" fontId="3" numFmtId="0" xfId="0" applyFont="1"/>
    <xf borderId="8" fillId="5" fontId="3" numFmtId="1" xfId="0" applyAlignment="1" applyBorder="1" applyFont="1" applyNumberFormat="1">
      <alignment horizontal="center" readingOrder="0" vertical="center"/>
    </xf>
    <xf borderId="0" fillId="0" fontId="3" numFmtId="164" xfId="0" applyFont="1" applyNumberFormat="1"/>
    <xf borderId="9" fillId="0" fontId="2" numFmtId="0" xfId="0" applyBorder="1" applyFont="1"/>
    <xf borderId="4" fillId="3" fontId="3" numFmtId="164" xfId="0" applyAlignment="1" applyBorder="1" applyFont="1" applyNumberFormat="1">
      <alignment horizontal="center" readingOrder="0" vertical="center"/>
    </xf>
    <xf borderId="0" fillId="0" fontId="5" numFmtId="164" xfId="0" applyFont="1" applyNumberFormat="1"/>
    <xf borderId="0" fillId="0" fontId="3" numFmtId="0" xfId="0" applyAlignment="1" applyFont="1">
      <alignment readingOrder="0"/>
    </xf>
    <xf borderId="4" fillId="5" fontId="3" numFmtId="0" xfId="0" applyAlignment="1" applyBorder="1" applyFont="1">
      <alignment horizontal="left" readingOrder="0" vertical="center"/>
    </xf>
    <xf borderId="4" fillId="5" fontId="3" numFmtId="0" xfId="0" applyAlignment="1" applyBorder="1" applyFont="1">
      <alignment horizontal="center" readingOrder="0" vertical="center"/>
    </xf>
    <xf borderId="4" fillId="5" fontId="3" numFmtId="1" xfId="0" applyAlignment="1" applyBorder="1" applyFont="1" applyNumberFormat="1">
      <alignment horizontal="center" readingOrder="0" vertical="center"/>
    </xf>
    <xf borderId="4" fillId="5" fontId="6" numFmtId="164" xfId="0" applyAlignment="1" applyBorder="1" applyFont="1" applyNumberFormat="1">
      <alignment horizontal="center" vertical="center"/>
    </xf>
    <xf borderId="4" fillId="5" fontId="3" numFmtId="1" xfId="0" applyAlignment="1" applyBorder="1" applyFont="1" applyNumberFormat="1">
      <alignment horizontal="center" vertical="center"/>
    </xf>
    <xf borderId="5" fillId="5" fontId="3" numFmtId="1" xfId="0" applyAlignment="1" applyBorder="1" applyFont="1" applyNumberFormat="1">
      <alignment horizontal="center" readingOrder="0" vertical="center"/>
    </xf>
    <xf borderId="5" fillId="5" fontId="3" numFmtId="1" xfId="0" applyAlignment="1" applyBorder="1" applyFont="1" applyNumberFormat="1">
      <alignment horizontal="center" vertical="center"/>
    </xf>
    <xf borderId="4" fillId="5" fontId="0" numFmtId="1" xfId="0" applyAlignment="1" applyBorder="1" applyFont="1" applyNumberFormat="1">
      <alignment horizontal="center" readingOrder="0" shrinkToFit="0" vertical="center" wrapText="1"/>
    </xf>
    <xf borderId="4" fillId="5" fontId="0" numFmtId="1" xfId="0" applyAlignment="1" applyBorder="1" applyFont="1" applyNumberFormat="1">
      <alignment horizontal="center" readingOrder="0" vertical="center"/>
    </xf>
    <xf borderId="4" fillId="5" fontId="3" numFmtId="164" xfId="0" applyAlignment="1" applyBorder="1" applyFont="1" applyNumberFormat="1">
      <alignment horizontal="center" vertical="center"/>
    </xf>
    <xf borderId="4" fillId="5" fontId="3" numFmtId="0" xfId="0" applyAlignment="1" applyBorder="1" applyFont="1">
      <alignment horizontal="center" vertical="center"/>
    </xf>
    <xf borderId="4" fillId="5" fontId="0" numFmtId="0" xfId="0" applyAlignment="1" applyBorder="1" applyFont="1">
      <alignment horizontal="center" vertical="center"/>
    </xf>
    <xf borderId="0" fillId="0" fontId="0" numFmtId="0" xfId="0" applyFont="1"/>
    <xf borderId="4" fillId="5" fontId="3" numFmtId="165" xfId="0" applyBorder="1" applyFont="1" applyNumberFormat="1"/>
    <xf borderId="0" fillId="4" fontId="3" numFmtId="165" xfId="0" applyFont="1" applyNumberFormat="1"/>
    <xf borderId="0" fillId="4" fontId="3" numFmtId="166" xfId="0" applyFont="1" applyNumberFormat="1"/>
    <xf borderId="0" fillId="0" fontId="7" numFmtId="0" xfId="0" applyFont="1"/>
    <xf borderId="0" fillId="2" fontId="4" numFmtId="0" xfId="0" applyAlignment="1" applyFont="1">
      <alignment horizontal="center" readingOrder="0" shrinkToFit="0" wrapText="1"/>
    </xf>
    <xf borderId="4" fillId="0" fontId="5" numFmtId="0" xfId="0" applyAlignment="1" applyBorder="1" applyFont="1">
      <alignment readingOrder="0"/>
    </xf>
    <xf borderId="4" fillId="0" fontId="5" numFmtId="0" xfId="0" applyBorder="1" applyFont="1"/>
    <xf borderId="5" fillId="3" fontId="3" numFmtId="0" xfId="0" applyAlignment="1" applyBorder="1" applyFont="1">
      <alignment horizontal="center" readingOrder="0" vertical="center"/>
    </xf>
    <xf borderId="0" fillId="0" fontId="5" numFmtId="0" xfId="0" applyAlignment="1" applyFont="1">
      <alignment horizontal="left" readingOrder="0" vertical="center"/>
    </xf>
    <xf borderId="5" fillId="5" fontId="3" numFmtId="0" xfId="0" applyAlignment="1" applyBorder="1" applyFont="1">
      <alignment horizontal="center" readingOrder="0" vertical="center"/>
    </xf>
    <xf borderId="4" fillId="3" fontId="3" numFmtId="164" xfId="0" applyAlignment="1" applyBorder="1" applyFont="1" applyNumberFormat="1">
      <alignment horizontal="center" shrinkToFit="0" vertical="center" wrapText="0"/>
    </xf>
    <xf borderId="0" fillId="0" fontId="3" numFmtId="0" xfId="0" applyAlignment="1" applyFont="1">
      <alignment readingOrder="0"/>
    </xf>
    <xf borderId="0" fillId="0" fontId="5" numFmtId="0" xfId="0" applyFont="1"/>
    <xf borderId="0" fillId="0" fontId="3" numFmtId="0" xfId="0" applyAlignment="1" applyFont="1">
      <alignment shrinkToFit="0" wrapText="1"/>
    </xf>
    <xf borderId="0" fillId="0" fontId="8" numFmtId="0" xfId="0" applyFont="1"/>
    <xf borderId="1" fillId="6" fontId="9" numFmtId="0" xfId="0" applyAlignment="1" applyBorder="1" applyFill="1" applyFont="1">
      <alignment horizontal="center" readingOrder="0" vertical="center"/>
    </xf>
    <xf borderId="0" fillId="6" fontId="6" numFmtId="0" xfId="0" applyAlignment="1" applyFont="1">
      <alignment horizontal="left" readingOrder="0" shrinkToFit="0" vertical="center" wrapText="1"/>
    </xf>
    <xf borderId="4" fillId="6" fontId="6" numFmtId="0" xfId="0" applyAlignment="1" applyBorder="1" applyFont="1">
      <alignment horizontal="left" readingOrder="0" shrinkToFit="0" vertical="center" wrapText="1"/>
    </xf>
    <xf borderId="4" fillId="6" fontId="5" numFmtId="0" xfId="0" applyAlignment="1" applyBorder="1" applyFont="1">
      <alignment horizontal="left" readingOrder="0" shrinkToFit="0" vertical="center" wrapText="1"/>
    </xf>
    <xf borderId="4" fillId="6" fontId="5" numFmtId="0" xfId="0" applyAlignment="1" applyBorder="1" applyFont="1">
      <alignment horizontal="left" shrinkToFit="0" vertical="center" wrapText="1"/>
    </xf>
    <xf borderId="4" fillId="0" fontId="5" numFmtId="0" xfId="0" applyAlignment="1" applyBorder="1" applyFont="1">
      <alignment horizontal="left" readingOrder="0" vertical="center"/>
    </xf>
    <xf borderId="4" fillId="0" fontId="6" numFmtId="0" xfId="0" applyAlignment="1" applyBorder="1" applyFont="1">
      <alignment horizontal="left" readingOrder="0" shrinkToFit="0" vertical="center" wrapText="0"/>
    </xf>
    <xf borderId="4" fillId="0" fontId="6" numFmtId="9" xfId="0" applyAlignment="1" applyBorder="1" applyFont="1" applyNumberFormat="1">
      <alignment horizontal="left" readingOrder="0" shrinkToFit="0" vertical="center" wrapText="0"/>
    </xf>
    <xf borderId="4" fillId="0" fontId="5" numFmtId="0" xfId="0" applyAlignment="1" applyBorder="1" applyFont="1">
      <alignment horizontal="left" vertical="center"/>
    </xf>
    <xf borderId="4" fillId="0" fontId="6" numFmtId="0" xfId="0" applyAlignment="1" applyBorder="1" applyFont="1">
      <alignment horizontal="left" readingOrder="0" vertical="center"/>
    </xf>
    <xf borderId="0" fillId="0" fontId="5" numFmtId="9" xfId="0" applyAlignment="1" applyFont="1" applyNumberFormat="1">
      <alignment readingOrder="0"/>
    </xf>
    <xf borderId="4" fillId="0" fontId="5" numFmtId="9" xfId="0" applyAlignment="1" applyBorder="1" applyFont="1" applyNumberFormat="1">
      <alignment horizontal="left" readingOrder="0" vertical="center"/>
    </xf>
    <xf borderId="10" fillId="0" fontId="5" numFmtId="0" xfId="0" applyAlignment="1" applyBorder="1" applyFont="1">
      <alignment readingOrder="0"/>
    </xf>
    <xf borderId="11" fillId="0" fontId="5" numFmtId="0" xfId="0" applyAlignment="1" applyBorder="1" applyFont="1">
      <alignment readingOrder="0"/>
    </xf>
    <xf borderId="12" fillId="0" fontId="5" numFmtId="0" xfId="0" applyAlignment="1" applyBorder="1" applyFont="1">
      <alignment readingOrder="0"/>
    </xf>
    <xf borderId="13" fillId="0" fontId="5" numFmtId="0" xfId="0" applyBorder="1" applyFont="1"/>
    <xf borderId="14" fillId="0" fontId="5" numFmtId="0" xfId="0" applyBorder="1" applyFont="1"/>
    <xf borderId="15" fillId="0" fontId="5" numFmtId="0" xfId="0" applyBorder="1" applyFont="1"/>
    <xf borderId="16" fillId="0" fontId="5" numFmtId="0" xfId="0" applyBorder="1" applyFont="1"/>
    <xf borderId="17" fillId="0" fontId="5" numFmtId="0" xfId="0" applyBorder="1" applyFont="1"/>
    <xf borderId="0" fillId="0" fontId="3" numFmtId="0" xfId="0" applyAlignment="1" applyFont="1">
      <alignment vertical="bottom"/>
    </xf>
    <xf borderId="4" fillId="0" fontId="3" numFmtId="0" xfId="0" applyBorder="1" applyFont="1"/>
    <xf borderId="4" fillId="0" fontId="3" numFmtId="0" xfId="0" applyAlignment="1" applyBorder="1" applyFont="1">
      <alignment vertical="bottom"/>
    </xf>
    <xf borderId="4" fillId="0" fontId="3" numFmtId="167" xfId="0" applyBorder="1" applyFont="1" applyNumberFormat="1"/>
    <xf borderId="4" fillId="0" fontId="3" numFmtId="0" xfId="0" applyAlignment="1" applyBorder="1" applyFont="1">
      <alignment readingOrder="0" vertical="bottom"/>
    </xf>
    <xf borderId="4" fillId="0" fontId="3" numFmtId="168" xfId="0" applyBorder="1" applyFont="1" applyNumberFormat="1"/>
    <xf borderId="4" fillId="0" fontId="3" numFmtId="0" xfId="0" applyAlignment="1" applyBorder="1" applyFont="1">
      <alignment shrinkToFit="0" vertical="bottom" wrapText="1"/>
    </xf>
    <xf borderId="4" fillId="0" fontId="4" numFmtId="169" xfId="0" applyAlignment="1" applyBorder="1" applyFont="1" applyNumberFormat="1">
      <alignment horizontal="right" vertical="bottom"/>
    </xf>
    <xf borderId="4" fillId="0" fontId="4" numFmtId="169" xfId="0" applyBorder="1" applyFont="1" applyNumberFormat="1"/>
    <xf borderId="1" fillId="2" fontId="1" numFmtId="0" xfId="0" applyAlignment="1" applyBorder="1" applyFont="1">
      <alignment horizontal="center"/>
    </xf>
    <xf borderId="4" fillId="2" fontId="4" numFmtId="0" xfId="0" applyAlignment="1" applyBorder="1" applyFont="1">
      <alignment shrinkToFit="0" wrapText="1"/>
    </xf>
    <xf borderId="1" fillId="2" fontId="4" numFmtId="0" xfId="0" applyAlignment="1" applyBorder="1" applyFont="1">
      <alignment horizontal="center" shrinkToFit="0" wrapText="1"/>
    </xf>
    <xf borderId="4" fillId="7" fontId="3" numFmtId="0" xfId="0" applyBorder="1" applyFill="1" applyFont="1"/>
    <xf borderId="4" fillId="7" fontId="3" numFmtId="170" xfId="0" applyBorder="1" applyFont="1" applyNumberFormat="1"/>
    <xf borderId="4" fillId="7" fontId="3" numFmtId="166" xfId="0" applyBorder="1" applyFont="1" applyNumberFormat="1"/>
    <xf borderId="4" fillId="7" fontId="3" numFmtId="0" xfId="0" applyAlignment="1" applyBorder="1" applyFont="1">
      <alignment shrinkToFit="0" wrapText="1"/>
    </xf>
    <xf borderId="4" fillId="0" fontId="3" numFmtId="0" xfId="0" applyBorder="1" applyFont="1"/>
    <xf borderId="4" fillId="8" fontId="4" numFmtId="0" xfId="0" applyBorder="1" applyFill="1" applyFont="1"/>
    <xf borderId="4" fillId="0" fontId="3" numFmtId="164" xfId="0" applyBorder="1" applyFont="1" applyNumberForma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customschemas.google.com/relationships/workbookmetadata" Target="metadata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13</xdr:col>
      <xdr:colOff>876300</xdr:colOff>
      <xdr:row>4</xdr:row>
      <xdr:rowOff>171450</xdr:rowOff>
    </xdr:from>
    <xdr:ext cx="3143250" cy="20288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238125</xdr:colOff>
      <xdr:row>9</xdr:row>
      <xdr:rowOff>180975</xdr:rowOff>
    </xdr:from>
    <xdr:ext cx="2609850" cy="3571875"/>
    <xdr:pic>
      <xdr:nvPicPr>
        <xdr:cNvPr id="0" name="image2.gif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morninj.github.io/mechanical-turk-cost-calculator/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morninj.github.io/mechanical-turk-cost-calculator/" TargetMode="External"/><Relationship Id="rId2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s://calculator.aws/" TargetMode="External"/><Relationship Id="rId2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5.38"/>
    <col customWidth="1" min="2" max="2" width="10.88"/>
    <col customWidth="1" min="3" max="3" width="8.5"/>
    <col customWidth="1" min="4" max="4" width="10.25"/>
    <col customWidth="1" min="5" max="5" width="12.25"/>
    <col customWidth="1" min="6" max="6" width="18.5"/>
    <col customWidth="1" min="7" max="7" width="12.25"/>
    <col customWidth="1" min="8" max="8" width="14.13"/>
    <col customWidth="1" min="9" max="9" width="16.63"/>
    <col customWidth="1" min="10" max="10" width="14.25"/>
    <col customWidth="1" min="11" max="11" width="14.63"/>
    <col customWidth="1" min="12" max="12" width="28.38"/>
    <col customWidth="1" min="13" max="13" width="8.88"/>
    <col customWidth="1" min="14" max="14" width="36.13"/>
    <col customWidth="1" min="15" max="15" width="12.5"/>
    <col customWidth="1" min="16" max="16" width="11.13"/>
    <col customWidth="1" min="17" max="17" width="8.0"/>
    <col customWidth="1" min="18" max="18" width="13.5"/>
    <col customWidth="1" min="19" max="20" width="17.5"/>
    <col customWidth="1" min="21" max="27" width="7.63"/>
  </cols>
  <sheetData>
    <row r="1">
      <c r="A1" s="1" t="s">
        <v>0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3"/>
      <c r="N1" s="3"/>
      <c r="O1" s="3"/>
      <c r="P1" s="3"/>
      <c r="Q1" s="3"/>
      <c r="R1" s="3"/>
      <c r="S1" s="3"/>
      <c r="T1" s="4"/>
    </row>
    <row r="2" ht="21.0" customHeight="1">
      <c r="A2" s="5" t="s">
        <v>1</v>
      </c>
      <c r="B2" s="2"/>
      <c r="C2" s="2"/>
      <c r="D2" s="2"/>
      <c r="E2" s="2"/>
      <c r="F2" s="2"/>
      <c r="G2" s="2"/>
      <c r="H2" s="2"/>
      <c r="I2" s="2"/>
      <c r="J2" s="2"/>
      <c r="K2" s="2"/>
      <c r="L2" s="6"/>
      <c r="M2" s="7"/>
      <c r="N2" s="7"/>
      <c r="O2" s="8"/>
      <c r="P2" s="8"/>
      <c r="Q2" s="8"/>
      <c r="R2" s="8"/>
      <c r="S2" s="8"/>
      <c r="T2" s="8"/>
    </row>
    <row r="3">
      <c r="A3" s="9"/>
      <c r="B3" s="10" t="s">
        <v>2</v>
      </c>
      <c r="C3" s="10" t="s">
        <v>3</v>
      </c>
      <c r="D3" s="10" t="s">
        <v>4</v>
      </c>
      <c r="E3" s="10" t="s">
        <v>5</v>
      </c>
      <c r="F3" s="10" t="s">
        <v>6</v>
      </c>
      <c r="G3" s="10" t="s">
        <v>7</v>
      </c>
      <c r="H3" s="10" t="s">
        <v>8</v>
      </c>
      <c r="I3" s="10" t="s">
        <v>9</v>
      </c>
      <c r="J3" s="10" t="s">
        <v>10</v>
      </c>
      <c r="K3" s="10" t="s">
        <v>11</v>
      </c>
      <c r="L3" s="10" t="s">
        <v>12</v>
      </c>
      <c r="M3" s="7"/>
      <c r="N3" s="7"/>
      <c r="O3" s="8"/>
      <c r="R3" s="8"/>
    </row>
    <row r="4">
      <c r="A4" s="11" t="s">
        <v>13</v>
      </c>
      <c r="B4" s="12">
        <v>15980.0</v>
      </c>
      <c r="C4" s="13">
        <v>15.0</v>
      </c>
      <c r="D4" s="14">
        <v>20.0</v>
      </c>
      <c r="E4" s="15">
        <v>10.0</v>
      </c>
      <c r="F4" s="16">
        <f>E4*C4/60</f>
        <v>2.5</v>
      </c>
      <c r="G4" s="17">
        <v>0.5</v>
      </c>
      <c r="H4" s="17">
        <f>F4+G4</f>
        <v>3</v>
      </c>
      <c r="I4" s="14">
        <f>CEILING(B4/D4,1)</f>
        <v>799</v>
      </c>
      <c r="J4" s="18">
        <v>3.0</v>
      </c>
      <c r="K4" s="12">
        <f>I4*J4</f>
        <v>2397</v>
      </c>
      <c r="L4" s="19">
        <f t="shared" ref="L4:L13" si="1">K4*H4</f>
        <v>7191</v>
      </c>
      <c r="N4" s="20" t="s">
        <v>14</v>
      </c>
      <c r="O4" s="21"/>
      <c r="P4" s="21"/>
      <c r="Q4" s="21"/>
      <c r="R4" s="21"/>
      <c r="S4" s="21"/>
      <c r="T4" s="21"/>
    </row>
    <row r="5">
      <c r="A5" s="22"/>
      <c r="B5" s="12">
        <v>15980.0</v>
      </c>
      <c r="C5" s="13">
        <v>15.0</v>
      </c>
      <c r="D5" s="22"/>
      <c r="E5" s="22"/>
      <c r="F5" s="22"/>
      <c r="G5" s="17">
        <v>0.5</v>
      </c>
      <c r="H5" s="17">
        <f>F4+G5</f>
        <v>3</v>
      </c>
      <c r="I5" s="22"/>
      <c r="J5" s="23">
        <v>4.0</v>
      </c>
      <c r="K5" s="12">
        <f>I4*J5</f>
        <v>3196</v>
      </c>
      <c r="L5" s="19">
        <f t="shared" si="1"/>
        <v>9588</v>
      </c>
      <c r="N5" s="24" t="s">
        <v>15</v>
      </c>
      <c r="O5" s="25">
        <v>25.0</v>
      </c>
      <c r="P5" s="21"/>
      <c r="Q5" s="21"/>
      <c r="R5" s="21"/>
      <c r="S5" s="21"/>
      <c r="T5" s="21"/>
    </row>
    <row r="6" ht="20.25" customHeight="1">
      <c r="A6" s="26"/>
      <c r="B6" s="12">
        <v>15980.0</v>
      </c>
      <c r="C6" s="13">
        <v>15.0</v>
      </c>
      <c r="D6" s="26"/>
      <c r="E6" s="26"/>
      <c r="F6" s="26"/>
      <c r="G6" s="17">
        <v>0.5</v>
      </c>
      <c r="H6" s="17">
        <f>F4+G6</f>
        <v>3</v>
      </c>
      <c r="I6" s="26"/>
      <c r="J6" s="23">
        <v>5.0</v>
      </c>
      <c r="K6" s="12">
        <f>I4*J6</f>
        <v>3995</v>
      </c>
      <c r="L6" s="19">
        <f t="shared" si="1"/>
        <v>11985</v>
      </c>
      <c r="N6" s="24" t="s">
        <v>16</v>
      </c>
      <c r="O6" s="25">
        <v>12.0</v>
      </c>
      <c r="P6" s="21"/>
      <c r="Q6" s="21"/>
      <c r="R6" s="21"/>
      <c r="S6" s="21"/>
      <c r="T6" s="21"/>
    </row>
    <row r="7">
      <c r="A7" s="27" t="s">
        <v>17</v>
      </c>
      <c r="B7" s="28">
        <v>15980.0</v>
      </c>
      <c r="C7" s="29">
        <v>15.0</v>
      </c>
      <c r="D7" s="28">
        <v>25.0</v>
      </c>
      <c r="E7" s="30">
        <v>12.0</v>
      </c>
      <c r="F7" s="31">
        <f>E7*C4/60</f>
        <v>3</v>
      </c>
      <c r="G7" s="32">
        <v>0.6</v>
      </c>
      <c r="H7" s="31">
        <f>F7+G7</f>
        <v>3.6</v>
      </c>
      <c r="I7" s="28">
        <f>CEILING(B7/D7,1)</f>
        <v>640</v>
      </c>
      <c r="J7" s="33">
        <v>3.0</v>
      </c>
      <c r="K7" s="34">
        <f>I7*J7</f>
        <v>1920</v>
      </c>
      <c r="L7" s="19">
        <f t="shared" si="1"/>
        <v>6912</v>
      </c>
      <c r="N7" s="20" t="s">
        <v>18</v>
      </c>
      <c r="O7" s="35">
        <v>15.0</v>
      </c>
      <c r="P7" s="36"/>
      <c r="Q7" s="37"/>
      <c r="R7" s="38"/>
      <c r="S7" s="38"/>
      <c r="T7" s="37"/>
    </row>
    <row r="8">
      <c r="A8" s="22"/>
      <c r="B8" s="28">
        <v>15980.0</v>
      </c>
      <c r="C8" s="29">
        <v>15.0</v>
      </c>
      <c r="D8" s="22"/>
      <c r="E8" s="22"/>
      <c r="F8" s="22"/>
      <c r="G8" s="32">
        <v>0.6</v>
      </c>
      <c r="H8" s="31">
        <f>F7+G8</f>
        <v>3.6</v>
      </c>
      <c r="I8" s="22"/>
      <c r="J8" s="39">
        <v>4.0</v>
      </c>
      <c r="K8" s="34">
        <f>I7*J8</f>
        <v>2560</v>
      </c>
      <c r="L8" s="19">
        <f t="shared" si="1"/>
        <v>9216</v>
      </c>
      <c r="N8" s="20" t="s">
        <v>19</v>
      </c>
      <c r="O8" s="40">
        <f>O7*O6/60</f>
        <v>3</v>
      </c>
      <c r="P8" s="36"/>
      <c r="Q8" s="37"/>
      <c r="R8" s="38"/>
      <c r="S8" s="38"/>
      <c r="T8" s="37"/>
    </row>
    <row r="9">
      <c r="A9" s="26"/>
      <c r="B9" s="28">
        <v>15980.0</v>
      </c>
      <c r="C9" s="29">
        <v>15.0</v>
      </c>
      <c r="D9" s="41"/>
      <c r="E9" s="26"/>
      <c r="F9" s="26"/>
      <c r="G9" s="32">
        <v>0.6</v>
      </c>
      <c r="H9" s="31">
        <f>F7+G9</f>
        <v>3.6</v>
      </c>
      <c r="I9" s="26"/>
      <c r="J9" s="39">
        <v>5.0</v>
      </c>
      <c r="K9" s="34">
        <f>I7*J9</f>
        <v>3200</v>
      </c>
      <c r="L9" s="19">
        <f t="shared" si="1"/>
        <v>11520</v>
      </c>
      <c r="N9" s="20" t="s">
        <v>20</v>
      </c>
      <c r="O9" s="35">
        <v>0.5</v>
      </c>
      <c r="P9" s="36"/>
      <c r="Q9" s="37"/>
      <c r="R9" s="38"/>
      <c r="S9" s="38"/>
      <c r="T9" s="37"/>
    </row>
    <row r="10" ht="24.0" customHeight="1">
      <c r="A10" s="11" t="s">
        <v>21</v>
      </c>
      <c r="B10" s="12">
        <v>15980.0</v>
      </c>
      <c r="C10" s="13">
        <v>15.0</v>
      </c>
      <c r="D10" s="14">
        <v>30.0</v>
      </c>
      <c r="E10" s="15">
        <v>15.0</v>
      </c>
      <c r="F10" s="16">
        <f>E10*C4/60</f>
        <v>3.75</v>
      </c>
      <c r="G10" s="42">
        <v>0.75</v>
      </c>
      <c r="H10" s="17">
        <f>F10+G10</f>
        <v>4.5</v>
      </c>
      <c r="I10" s="14">
        <f>CEILING(B10/D10,1)</f>
        <v>533</v>
      </c>
      <c r="J10" s="18">
        <v>3.0</v>
      </c>
      <c r="K10" s="12">
        <f>I10*J10</f>
        <v>1599</v>
      </c>
      <c r="L10" s="19">
        <f t="shared" si="1"/>
        <v>7195.5</v>
      </c>
      <c r="N10" s="24" t="s">
        <v>22</v>
      </c>
      <c r="O10" s="43">
        <f>O8+O9</f>
        <v>3.5</v>
      </c>
      <c r="P10" s="36"/>
      <c r="Q10" s="36"/>
      <c r="R10" s="36"/>
      <c r="S10" s="36"/>
      <c r="T10" s="36"/>
    </row>
    <row r="11" ht="24.75" customHeight="1">
      <c r="A11" s="22"/>
      <c r="B11" s="12">
        <v>15980.0</v>
      </c>
      <c r="C11" s="13">
        <v>15.0</v>
      </c>
      <c r="D11" s="22"/>
      <c r="E11" s="22"/>
      <c r="F11" s="22"/>
      <c r="G11" s="42">
        <v>0.75</v>
      </c>
      <c r="H11" s="17">
        <f>F10+G11</f>
        <v>4.5</v>
      </c>
      <c r="I11" s="22"/>
      <c r="J11" s="23">
        <v>4.0</v>
      </c>
      <c r="K11" s="12">
        <f>I10*J11</f>
        <v>2132</v>
      </c>
      <c r="L11" s="19">
        <f t="shared" si="1"/>
        <v>9594</v>
      </c>
      <c r="N11" s="24" t="s">
        <v>23</v>
      </c>
      <c r="O11" s="44">
        <v>3.0</v>
      </c>
      <c r="P11" s="36"/>
      <c r="Q11" s="36"/>
      <c r="R11" s="36"/>
      <c r="S11" s="36"/>
      <c r="T11" s="36"/>
    </row>
    <row r="12" ht="20.25" customHeight="1">
      <c r="A12" s="26"/>
      <c r="B12" s="12">
        <v>15980.0</v>
      </c>
      <c r="C12" s="13">
        <v>15.0</v>
      </c>
      <c r="D12" s="26"/>
      <c r="E12" s="26"/>
      <c r="F12" s="26"/>
      <c r="G12" s="42">
        <v>0.75</v>
      </c>
      <c r="H12" s="17">
        <f>F10+G12</f>
        <v>4.5</v>
      </c>
      <c r="I12" s="26"/>
      <c r="J12" s="23">
        <v>5.0</v>
      </c>
      <c r="K12" s="12">
        <f>I10*J12</f>
        <v>2665</v>
      </c>
      <c r="L12" s="19">
        <f t="shared" si="1"/>
        <v>11992.5</v>
      </c>
      <c r="N12" s="24" t="s">
        <v>24</v>
      </c>
      <c r="O12" s="40">
        <f>O11*O10</f>
        <v>10.5</v>
      </c>
      <c r="P12" s="36"/>
      <c r="Q12" s="36"/>
      <c r="R12" s="36"/>
      <c r="S12" s="36"/>
      <c r="T12" s="36"/>
    </row>
    <row r="13">
      <c r="A13" s="45" t="s">
        <v>25</v>
      </c>
      <c r="B13" s="46">
        <v>25000.0</v>
      </c>
      <c r="C13" s="29">
        <v>15.0</v>
      </c>
      <c r="D13" s="47">
        <v>25.0</v>
      </c>
      <c r="E13" s="47">
        <v>12.0</v>
      </c>
      <c r="F13" s="48">
        <f>E13*C13/60</f>
        <v>3</v>
      </c>
      <c r="G13" s="32">
        <v>0.6</v>
      </c>
      <c r="H13" s="31">
        <f t="shared" ref="H13:H17" si="3">F13+G13</f>
        <v>3.6</v>
      </c>
      <c r="I13" s="49">
        <f>CEILING(B13/D13,1)</f>
        <v>1000</v>
      </c>
      <c r="J13" s="50">
        <v>3.0</v>
      </c>
      <c r="K13" s="51">
        <f t="shared" ref="K13:K17" si="4">I13*J13</f>
        <v>3000</v>
      </c>
      <c r="L13" s="19">
        <f t="shared" si="1"/>
        <v>10800</v>
      </c>
      <c r="O13" s="36"/>
      <c r="P13" s="36"/>
      <c r="Q13" s="36"/>
      <c r="R13" s="36"/>
      <c r="S13" s="36"/>
      <c r="T13" s="36"/>
    </row>
    <row r="14">
      <c r="A14" s="46"/>
      <c r="B14" s="52">
        <f t="shared" ref="B14:B17" si="5">IFNA(0)</f>
        <v>0</v>
      </c>
      <c r="C14" s="29">
        <v>15.0</v>
      </c>
      <c r="D14" s="52">
        <f t="shared" ref="D14:E14" si="2">IFNA(0)</f>
        <v>0</v>
      </c>
      <c r="E14" s="53">
        <f t="shared" si="2"/>
        <v>0</v>
      </c>
      <c r="F14" s="48">
        <f t="shared" ref="F14:F17" si="7">E14*D14/60</f>
        <v>0</v>
      </c>
      <c r="G14" s="54">
        <v>0.5</v>
      </c>
      <c r="H14" s="54">
        <f t="shared" si="3"/>
        <v>0.5</v>
      </c>
      <c r="I14" s="49">
        <f t="shared" ref="I14:I17" si="8">IFERROR(CEILING(B14/D14,1), 0)</f>
        <v>0</v>
      </c>
      <c r="J14" s="53">
        <f t="shared" ref="J14:J17" si="9">IFNA(0)</f>
        <v>0</v>
      </c>
      <c r="K14" s="49">
        <f t="shared" si="4"/>
        <v>0</v>
      </c>
      <c r="L14" s="54">
        <f t="shared" ref="L14:L17" si="10">K14*(F14+G14)</f>
        <v>0</v>
      </c>
      <c r="O14" s="36"/>
      <c r="P14" s="36"/>
      <c r="Q14" s="36"/>
      <c r="R14" s="36"/>
      <c r="S14" s="36"/>
      <c r="T14" s="36"/>
    </row>
    <row r="15">
      <c r="A15" s="55"/>
      <c r="B15" s="52">
        <f t="shared" si="5"/>
        <v>0</v>
      </c>
      <c r="C15" s="29">
        <v>15.0</v>
      </c>
      <c r="D15" s="52">
        <f t="shared" ref="D15:E15" si="6">IFNA(0)</f>
        <v>0</v>
      </c>
      <c r="E15" s="53">
        <f t="shared" si="6"/>
        <v>0</v>
      </c>
      <c r="F15" s="48">
        <f t="shared" si="7"/>
        <v>0</v>
      </c>
      <c r="G15" s="54">
        <v>0.5</v>
      </c>
      <c r="H15" s="54">
        <f t="shared" si="3"/>
        <v>0.5</v>
      </c>
      <c r="I15" s="49">
        <f t="shared" si="8"/>
        <v>0</v>
      </c>
      <c r="J15" s="53">
        <f t="shared" si="9"/>
        <v>0</v>
      </c>
      <c r="K15" s="49">
        <f t="shared" si="4"/>
        <v>0</v>
      </c>
      <c r="L15" s="54">
        <f t="shared" si="10"/>
        <v>0</v>
      </c>
      <c r="O15" s="36"/>
      <c r="P15" s="36"/>
      <c r="Q15" s="36"/>
      <c r="R15" s="36"/>
      <c r="S15" s="36"/>
      <c r="T15" s="36"/>
    </row>
    <row r="16">
      <c r="A16" s="56"/>
      <c r="B16" s="52">
        <f t="shared" si="5"/>
        <v>0</v>
      </c>
      <c r="C16" s="29">
        <v>15.0</v>
      </c>
      <c r="D16" s="52">
        <f t="shared" ref="D16:E16" si="11">IFNA(0)</f>
        <v>0</v>
      </c>
      <c r="E16" s="53">
        <f t="shared" si="11"/>
        <v>0</v>
      </c>
      <c r="F16" s="48">
        <f t="shared" si="7"/>
        <v>0</v>
      </c>
      <c r="G16" s="54">
        <v>0.5</v>
      </c>
      <c r="H16" s="54">
        <f t="shared" si="3"/>
        <v>0.5</v>
      </c>
      <c r="I16" s="49">
        <f t="shared" si="8"/>
        <v>0</v>
      </c>
      <c r="J16" s="53">
        <f t="shared" si="9"/>
        <v>0</v>
      </c>
      <c r="K16" s="49">
        <f t="shared" si="4"/>
        <v>0</v>
      </c>
      <c r="L16" s="54">
        <f t="shared" si="10"/>
        <v>0</v>
      </c>
      <c r="M16" s="57"/>
    </row>
    <row r="17">
      <c r="A17" s="58"/>
      <c r="B17" s="52">
        <f t="shared" si="5"/>
        <v>0</v>
      </c>
      <c r="C17" s="29">
        <v>15.0</v>
      </c>
      <c r="D17" s="52">
        <f t="shared" ref="D17:E17" si="12">IFNA(0)</f>
        <v>0</v>
      </c>
      <c r="E17" s="53">
        <f t="shared" si="12"/>
        <v>0</v>
      </c>
      <c r="F17" s="48">
        <f t="shared" si="7"/>
        <v>0</v>
      </c>
      <c r="G17" s="54">
        <v>0.5</v>
      </c>
      <c r="H17" s="54">
        <f t="shared" si="3"/>
        <v>0.5</v>
      </c>
      <c r="I17" s="49">
        <f t="shared" si="8"/>
        <v>0</v>
      </c>
      <c r="J17" s="53">
        <f t="shared" si="9"/>
        <v>0</v>
      </c>
      <c r="K17" s="49">
        <f t="shared" si="4"/>
        <v>0</v>
      </c>
      <c r="L17" s="54">
        <f t="shared" si="10"/>
        <v>0</v>
      </c>
      <c r="M17" s="57"/>
    </row>
    <row r="20">
      <c r="A20" s="59"/>
      <c r="B20" s="60"/>
      <c r="C20" s="57"/>
      <c r="D20" s="57"/>
      <c r="E20" s="57"/>
      <c r="F20" s="57"/>
      <c r="G20" s="57"/>
      <c r="H20" s="57"/>
      <c r="I20" s="57"/>
      <c r="J20" s="57"/>
      <c r="K20" s="57"/>
      <c r="L20" s="57"/>
      <c r="M20" s="57"/>
    </row>
    <row r="21">
      <c r="A21" s="36" t="s">
        <v>26</v>
      </c>
      <c r="B21" s="61" t="s">
        <v>27</v>
      </c>
      <c r="C21" s="57"/>
      <c r="D21" s="57"/>
      <c r="E21" s="57"/>
      <c r="F21" s="57"/>
      <c r="G21" s="57"/>
      <c r="H21" s="57"/>
      <c r="I21" s="57"/>
      <c r="J21" s="57"/>
      <c r="K21" s="57"/>
      <c r="L21" s="57"/>
    </row>
    <row r="22" ht="54.0" customHeight="1">
      <c r="A22" s="57"/>
      <c r="B22" s="57"/>
      <c r="C22" s="57"/>
      <c r="D22" s="57"/>
      <c r="E22" s="57"/>
      <c r="F22" s="57"/>
      <c r="G22" s="57"/>
      <c r="H22" s="57"/>
      <c r="I22" s="57"/>
      <c r="J22" s="57"/>
      <c r="K22" s="57"/>
      <c r="L22" s="57"/>
    </row>
    <row r="23" ht="15.75" customHeight="1">
      <c r="A23" s="57"/>
      <c r="B23" s="57"/>
      <c r="C23" s="57"/>
      <c r="D23" s="57"/>
      <c r="E23" s="57"/>
      <c r="F23" s="57"/>
      <c r="G23" s="57"/>
      <c r="H23" s="57"/>
      <c r="I23" s="57"/>
      <c r="J23" s="57"/>
      <c r="K23" s="57"/>
      <c r="L23" s="57"/>
    </row>
    <row r="24" ht="15.75" customHeight="1">
      <c r="A24" s="57"/>
      <c r="B24" s="57"/>
      <c r="C24" s="57"/>
      <c r="D24" s="57"/>
      <c r="E24" s="57"/>
      <c r="F24" s="57"/>
      <c r="G24" s="57"/>
      <c r="H24" s="57"/>
      <c r="I24" s="57"/>
      <c r="J24" s="57"/>
      <c r="K24" s="57"/>
      <c r="L24" s="57"/>
    </row>
    <row r="25" ht="15.75" customHeight="1">
      <c r="A25" s="57"/>
      <c r="B25" s="57"/>
      <c r="C25" s="57"/>
      <c r="D25" s="57"/>
      <c r="E25" s="57"/>
      <c r="F25" s="57"/>
      <c r="G25" s="57"/>
      <c r="H25" s="57"/>
      <c r="I25" s="57"/>
      <c r="J25" s="57"/>
      <c r="K25" s="57"/>
      <c r="L25" s="57"/>
    </row>
    <row r="26" ht="15.75" customHeight="1">
      <c r="A26" s="57"/>
      <c r="B26" s="57"/>
      <c r="C26" s="57"/>
      <c r="D26" s="57"/>
      <c r="E26" s="57"/>
      <c r="F26" s="57"/>
      <c r="G26" s="57"/>
      <c r="H26" s="57"/>
      <c r="I26" s="57"/>
      <c r="J26" s="57"/>
      <c r="K26" s="57"/>
      <c r="L26" s="57"/>
    </row>
    <row r="27" ht="15.75" customHeight="1">
      <c r="A27" s="57"/>
      <c r="B27" s="57"/>
      <c r="C27" s="57"/>
      <c r="D27" s="57"/>
      <c r="E27" s="57"/>
      <c r="F27" s="57"/>
      <c r="G27" s="57"/>
      <c r="H27" s="57"/>
      <c r="I27" s="57"/>
      <c r="J27" s="57"/>
      <c r="K27" s="57"/>
      <c r="L27" s="57"/>
    </row>
    <row r="28" ht="15.75" customHeight="1">
      <c r="A28" s="57"/>
      <c r="B28" s="57"/>
      <c r="C28" s="57"/>
      <c r="D28" s="57"/>
      <c r="E28" s="57"/>
      <c r="F28" s="57"/>
      <c r="G28" s="57"/>
      <c r="H28" s="57"/>
      <c r="I28" s="57"/>
      <c r="J28" s="57"/>
      <c r="K28" s="57"/>
      <c r="L28" s="57"/>
    </row>
    <row r="29" ht="15.75" customHeight="1">
      <c r="A29" s="57"/>
      <c r="B29" s="57"/>
      <c r="C29" s="57"/>
      <c r="D29" s="57"/>
      <c r="E29" s="57"/>
      <c r="F29" s="57"/>
      <c r="G29" s="57"/>
      <c r="H29" s="57"/>
      <c r="I29" s="57"/>
      <c r="J29" s="57"/>
      <c r="K29" s="57"/>
      <c r="L29" s="57"/>
    </row>
    <row r="30" ht="15.75" customHeight="1"/>
    <row r="31" ht="15.75" customHeight="1"/>
    <row r="32" ht="15.75" customHeight="1">
      <c r="H32" s="36"/>
      <c r="I32" s="36"/>
    </row>
    <row r="33" ht="15.75" customHeight="1">
      <c r="H33" s="36"/>
      <c r="I33" s="36"/>
    </row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9">
    <mergeCell ref="A1:L1"/>
    <mergeCell ref="A2:L2"/>
    <mergeCell ref="O3:Q3"/>
    <mergeCell ref="R3:T3"/>
    <mergeCell ref="A4:A6"/>
    <mergeCell ref="D4:D6"/>
    <mergeCell ref="E4:E6"/>
    <mergeCell ref="D7:D9"/>
    <mergeCell ref="D10:D12"/>
    <mergeCell ref="E10:E12"/>
    <mergeCell ref="F10:F12"/>
    <mergeCell ref="F4:F6"/>
    <mergeCell ref="I4:I6"/>
    <mergeCell ref="A7:A9"/>
    <mergeCell ref="E7:E9"/>
    <mergeCell ref="F7:F9"/>
    <mergeCell ref="I7:I9"/>
    <mergeCell ref="A10:A12"/>
    <mergeCell ref="I10:I12"/>
  </mergeCells>
  <hyperlinks>
    <hyperlink r:id="rId1" ref="B21"/>
  </hyperlinks>
  <printOptions/>
  <pageMargins bottom="0.75" footer="0.0" header="0.0" left="0.7" right="0.7" top="0.75"/>
  <pageSetup orientation="portrait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8.88"/>
    <col customWidth="1" min="2" max="2" width="17.63"/>
    <col customWidth="1" min="3" max="3" width="12.38"/>
    <col customWidth="1" min="4" max="4" width="14.25"/>
    <col customWidth="1" min="5" max="5" width="13.75"/>
    <col customWidth="1" min="6" max="6" width="14.38"/>
    <col customWidth="1" min="7" max="7" width="12.25"/>
    <col customWidth="1" min="8" max="8" width="18.88"/>
    <col customWidth="1" min="9" max="9" width="24.88"/>
    <col customWidth="1" min="10" max="10" width="14.63"/>
    <col customWidth="1" min="11" max="12" width="14.25"/>
    <col customWidth="1" min="13" max="13" width="14.13"/>
    <col customWidth="1" min="14" max="14" width="14.0"/>
    <col customWidth="1" min="15" max="15" width="31.0"/>
    <col customWidth="1" min="16" max="16" width="11.13"/>
    <col customWidth="1" min="17" max="17" width="30.13"/>
    <col customWidth="1" min="18" max="18" width="13.5"/>
    <col customWidth="1" min="19" max="20" width="17.5"/>
    <col customWidth="1" min="21" max="28" width="7.63"/>
  </cols>
  <sheetData>
    <row r="1">
      <c r="A1" s="1" t="s">
        <v>28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3"/>
      <c r="N1" s="3"/>
      <c r="O1" s="3"/>
      <c r="P1" s="3"/>
      <c r="Q1" s="3"/>
      <c r="R1" s="3"/>
      <c r="S1" s="3"/>
      <c r="T1" s="4"/>
    </row>
    <row r="2">
      <c r="A2" s="5" t="s">
        <v>29</v>
      </c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7"/>
      <c r="N2" s="7"/>
      <c r="O2" s="8"/>
      <c r="P2" s="8"/>
      <c r="Q2" s="8"/>
      <c r="R2" s="8"/>
      <c r="S2" s="8"/>
      <c r="T2" s="8"/>
    </row>
    <row r="3" ht="102.0" customHeight="1">
      <c r="A3" s="9"/>
      <c r="B3" s="10" t="s">
        <v>30</v>
      </c>
      <c r="C3" s="10" t="s">
        <v>31</v>
      </c>
      <c r="D3" s="10" t="s">
        <v>32</v>
      </c>
      <c r="E3" s="10" t="s">
        <v>3</v>
      </c>
      <c r="F3" s="10" t="s">
        <v>33</v>
      </c>
      <c r="G3" s="10" t="s">
        <v>34</v>
      </c>
      <c r="H3" s="10" t="s">
        <v>35</v>
      </c>
      <c r="I3" s="10" t="s">
        <v>36</v>
      </c>
      <c r="J3" s="10" t="s">
        <v>7</v>
      </c>
      <c r="K3" s="10" t="s">
        <v>8</v>
      </c>
      <c r="L3" s="10" t="s">
        <v>37</v>
      </c>
      <c r="M3" s="10" t="s">
        <v>38</v>
      </c>
      <c r="N3" s="10" t="s">
        <v>39</v>
      </c>
      <c r="O3" s="10" t="s">
        <v>40</v>
      </c>
      <c r="P3" s="62"/>
      <c r="Q3" s="8"/>
      <c r="R3" s="8"/>
    </row>
    <row r="4">
      <c r="A4" s="11" t="s">
        <v>41</v>
      </c>
      <c r="B4" s="63" t="s">
        <v>42</v>
      </c>
      <c r="C4" s="63" t="s">
        <v>43</v>
      </c>
      <c r="D4" s="64">
        <f>'sub-image-count-calculator'!I4</f>
        <v>2601</v>
      </c>
      <c r="E4" s="13">
        <v>15.0</v>
      </c>
      <c r="F4" s="65">
        <v>5.0</v>
      </c>
      <c r="G4" s="15">
        <v>6.0</v>
      </c>
      <c r="H4" s="15">
        <v>10.0</v>
      </c>
      <c r="I4" s="16">
        <f>G4*E4/60</f>
        <v>1.5</v>
      </c>
      <c r="J4" s="17">
        <v>0.5</v>
      </c>
      <c r="K4" s="17">
        <f>I4+J4</f>
        <v>2</v>
      </c>
      <c r="L4" s="14">
        <f>CEILING(D4/F4,1)</f>
        <v>521</v>
      </c>
      <c r="M4" s="18">
        <v>3.0</v>
      </c>
      <c r="N4" s="12">
        <f>L4*M4</f>
        <v>1563</v>
      </c>
      <c r="O4" s="19">
        <f t="shared" ref="O4:O15" si="1">N4*K4</f>
        <v>3126</v>
      </c>
      <c r="P4" s="21"/>
      <c r="S4" s="21"/>
      <c r="T4" s="21"/>
    </row>
    <row r="5">
      <c r="A5" s="22"/>
      <c r="B5" s="63" t="s">
        <v>44</v>
      </c>
      <c r="C5" s="63" t="s">
        <v>43</v>
      </c>
      <c r="D5" s="64">
        <f>'sub-image-count-calculator'!I5</f>
        <v>2562</v>
      </c>
      <c r="E5" s="13">
        <v>15.0</v>
      </c>
      <c r="F5" s="22"/>
      <c r="G5" s="22"/>
      <c r="H5" s="22"/>
      <c r="I5" s="22"/>
      <c r="J5" s="17">
        <v>0.5</v>
      </c>
      <c r="K5" s="17">
        <f>I4+J5</f>
        <v>2</v>
      </c>
      <c r="L5" s="22"/>
      <c r="M5" s="23">
        <v>4.0</v>
      </c>
      <c r="N5" s="12">
        <f>L4*M5</f>
        <v>2084</v>
      </c>
      <c r="O5" s="19">
        <f t="shared" si="1"/>
        <v>4168</v>
      </c>
      <c r="P5" s="21"/>
      <c r="S5" s="21"/>
      <c r="T5" s="21"/>
    </row>
    <row r="6">
      <c r="A6" s="26"/>
      <c r="B6" s="66" t="s">
        <v>45</v>
      </c>
      <c r="C6" s="63" t="s">
        <v>43</v>
      </c>
      <c r="D6" s="64">
        <f>'sub-image-count-calculator'!I6</f>
        <v>2623</v>
      </c>
      <c r="E6" s="13">
        <v>15.0</v>
      </c>
      <c r="F6" s="26"/>
      <c r="G6" s="26"/>
      <c r="H6" s="26"/>
      <c r="I6" s="26"/>
      <c r="J6" s="17">
        <v>0.5</v>
      </c>
      <c r="K6" s="17">
        <f>I4+J6</f>
        <v>2</v>
      </c>
      <c r="L6" s="26"/>
      <c r="M6" s="23">
        <v>5.0</v>
      </c>
      <c r="N6" s="12">
        <f>L4*M6</f>
        <v>2605</v>
      </c>
      <c r="O6" s="19">
        <f t="shared" si="1"/>
        <v>5210</v>
      </c>
      <c r="P6" s="21"/>
      <c r="S6" s="21"/>
      <c r="T6" s="21"/>
    </row>
    <row r="7">
      <c r="A7" s="11" t="s">
        <v>46</v>
      </c>
      <c r="B7" s="63" t="s">
        <v>42</v>
      </c>
      <c r="C7" s="63" t="s">
        <v>43</v>
      </c>
      <c r="D7" s="64">
        <f>'sub-image-count-calculator'!I4</f>
        <v>2601</v>
      </c>
      <c r="E7" s="29">
        <v>15.0</v>
      </c>
      <c r="F7" s="67">
        <v>10.0</v>
      </c>
      <c r="G7" s="30">
        <v>10.0</v>
      </c>
      <c r="H7" s="30">
        <v>15.0</v>
      </c>
      <c r="I7" s="31">
        <f>G7*E4/60</f>
        <v>2.5</v>
      </c>
      <c r="J7" s="31">
        <v>0.5</v>
      </c>
      <c r="K7" s="16">
        <f>I7+J7</f>
        <v>3</v>
      </c>
      <c r="L7" s="14">
        <f>CEILING(D7/F7,1)</f>
        <v>261</v>
      </c>
      <c r="M7" s="33">
        <v>3.0</v>
      </c>
      <c r="N7" s="34">
        <f>L7*M7</f>
        <v>783</v>
      </c>
      <c r="O7" s="19">
        <f t="shared" si="1"/>
        <v>2349</v>
      </c>
      <c r="P7" s="36"/>
      <c r="S7" s="38"/>
      <c r="T7" s="37"/>
    </row>
    <row r="8">
      <c r="A8" s="22"/>
      <c r="B8" s="63" t="s">
        <v>44</v>
      </c>
      <c r="C8" s="63" t="s">
        <v>43</v>
      </c>
      <c r="D8" s="64">
        <f>'sub-image-count-calculator'!I5</f>
        <v>2562</v>
      </c>
      <c r="E8" s="29">
        <v>15.0</v>
      </c>
      <c r="F8" s="22"/>
      <c r="G8" s="22"/>
      <c r="H8" s="22"/>
      <c r="I8" s="22"/>
      <c r="J8" s="31">
        <v>0.5</v>
      </c>
      <c r="K8" s="16">
        <f>I7+J8</f>
        <v>3</v>
      </c>
      <c r="L8" s="22"/>
      <c r="M8" s="39">
        <v>4.0</v>
      </c>
      <c r="N8" s="34">
        <f>L7*M8</f>
        <v>1044</v>
      </c>
      <c r="O8" s="19">
        <f t="shared" si="1"/>
        <v>3132</v>
      </c>
      <c r="P8" s="36"/>
      <c r="S8" s="38"/>
      <c r="T8" s="37"/>
    </row>
    <row r="9">
      <c r="A9" s="26"/>
      <c r="B9" s="66" t="s">
        <v>45</v>
      </c>
      <c r="C9" s="63" t="s">
        <v>43</v>
      </c>
      <c r="D9" s="64">
        <f>'sub-image-count-calculator'!I6</f>
        <v>2623</v>
      </c>
      <c r="E9" s="29">
        <v>15.0</v>
      </c>
      <c r="F9" s="41"/>
      <c r="G9" s="26"/>
      <c r="H9" s="26"/>
      <c r="I9" s="26"/>
      <c r="J9" s="31">
        <v>0.5</v>
      </c>
      <c r="K9" s="16">
        <f>I7+J9</f>
        <v>3</v>
      </c>
      <c r="L9" s="26"/>
      <c r="M9" s="39">
        <v>5.0</v>
      </c>
      <c r="N9" s="34">
        <f>L7*M9</f>
        <v>1305</v>
      </c>
      <c r="O9" s="19">
        <f t="shared" si="1"/>
        <v>3915</v>
      </c>
      <c r="P9" s="36"/>
      <c r="S9" s="38"/>
      <c r="T9" s="37"/>
    </row>
    <row r="10">
      <c r="A10" s="11" t="s">
        <v>47</v>
      </c>
      <c r="B10" s="63" t="s">
        <v>42</v>
      </c>
      <c r="C10" s="63" t="s">
        <v>43</v>
      </c>
      <c r="D10" s="64">
        <f>'sub-image-count-calculator'!I4</f>
        <v>2601</v>
      </c>
      <c r="E10" s="13">
        <v>15.0</v>
      </c>
      <c r="F10" s="65">
        <v>15.0</v>
      </c>
      <c r="G10" s="15">
        <v>15.0</v>
      </c>
      <c r="H10" s="15">
        <v>20.0</v>
      </c>
      <c r="I10" s="16">
        <f>G10*E4/60</f>
        <v>3.75</v>
      </c>
      <c r="J10" s="17">
        <v>0.5</v>
      </c>
      <c r="K10" s="17">
        <f>I10+J10</f>
        <v>4.25</v>
      </c>
      <c r="L10" s="14">
        <f>CEILING(D10/F10,1)</f>
        <v>174</v>
      </c>
      <c r="M10" s="18">
        <v>3.0</v>
      </c>
      <c r="N10" s="12">
        <f>L10*M10</f>
        <v>522</v>
      </c>
      <c r="O10" s="19">
        <f t="shared" si="1"/>
        <v>2218.5</v>
      </c>
      <c r="P10" s="36"/>
      <c r="S10" s="36"/>
      <c r="T10" s="36"/>
    </row>
    <row r="11">
      <c r="A11" s="22"/>
      <c r="B11" s="63" t="s">
        <v>44</v>
      </c>
      <c r="C11" s="63" t="s">
        <v>43</v>
      </c>
      <c r="D11" s="64">
        <f>'sub-image-count-calculator'!I5</f>
        <v>2562</v>
      </c>
      <c r="E11" s="13">
        <v>15.0</v>
      </c>
      <c r="F11" s="22"/>
      <c r="G11" s="22"/>
      <c r="H11" s="22"/>
      <c r="I11" s="22"/>
      <c r="J11" s="68">
        <v>0.5</v>
      </c>
      <c r="K11" s="17">
        <f>I10+J11</f>
        <v>4.25</v>
      </c>
      <c r="L11" s="22"/>
      <c r="M11" s="23">
        <v>4.0</v>
      </c>
      <c r="N11" s="12">
        <f>L10*M11</f>
        <v>696</v>
      </c>
      <c r="O11" s="19">
        <f t="shared" si="1"/>
        <v>2958</v>
      </c>
      <c r="P11" s="36"/>
      <c r="S11" s="36"/>
      <c r="T11" s="36"/>
    </row>
    <row r="12">
      <c r="A12" s="26"/>
      <c r="B12" s="66" t="s">
        <v>45</v>
      </c>
      <c r="C12" s="63" t="s">
        <v>43</v>
      </c>
      <c r="D12" s="64">
        <f>'sub-image-count-calculator'!I6</f>
        <v>2623</v>
      </c>
      <c r="E12" s="13">
        <v>15.0</v>
      </c>
      <c r="F12" s="26"/>
      <c r="G12" s="26"/>
      <c r="H12" s="26"/>
      <c r="I12" s="26"/>
      <c r="J12" s="17">
        <v>0.5</v>
      </c>
      <c r="K12" s="17">
        <f>I10+J12</f>
        <v>4.25</v>
      </c>
      <c r="L12" s="26"/>
      <c r="M12" s="23">
        <v>5.0</v>
      </c>
      <c r="N12" s="12">
        <f>L10*M12</f>
        <v>870</v>
      </c>
      <c r="O12" s="19">
        <f t="shared" si="1"/>
        <v>3697.5</v>
      </c>
      <c r="P12" s="36"/>
      <c r="S12" s="36"/>
      <c r="T12" s="36"/>
    </row>
    <row r="13">
      <c r="A13" s="11" t="s">
        <v>48</v>
      </c>
      <c r="B13" s="63" t="s">
        <v>42</v>
      </c>
      <c r="C13" s="63" t="s">
        <v>43</v>
      </c>
      <c r="D13" s="64">
        <f>'sub-image-count-calculator'!I4</f>
        <v>2601</v>
      </c>
      <c r="E13" s="13">
        <v>15.0</v>
      </c>
      <c r="F13" s="65">
        <v>20.0</v>
      </c>
      <c r="G13" s="15">
        <v>25.0</v>
      </c>
      <c r="H13" s="15">
        <v>30.0</v>
      </c>
      <c r="I13" s="16">
        <f>G13*E7/60</f>
        <v>6.25</v>
      </c>
      <c r="J13" s="17">
        <v>0.5</v>
      </c>
      <c r="K13" s="17">
        <f>I13+J13</f>
        <v>6.75</v>
      </c>
      <c r="L13" s="14">
        <f>CEILING(D13/F13,1)</f>
        <v>131</v>
      </c>
      <c r="M13" s="18">
        <v>3.0</v>
      </c>
      <c r="N13" s="12">
        <f>L13*M13</f>
        <v>393</v>
      </c>
      <c r="O13" s="19">
        <f t="shared" si="1"/>
        <v>2652.75</v>
      </c>
      <c r="P13" s="36"/>
      <c r="Q13" s="36"/>
      <c r="R13" s="36"/>
      <c r="S13" s="36"/>
      <c r="T13" s="36"/>
    </row>
    <row r="14">
      <c r="A14" s="22"/>
      <c r="B14" s="63" t="s">
        <v>44</v>
      </c>
      <c r="C14" s="63" t="s">
        <v>43</v>
      </c>
      <c r="D14" s="64">
        <f>'sub-image-count-calculator'!I5</f>
        <v>2562</v>
      </c>
      <c r="E14" s="13">
        <v>15.0</v>
      </c>
      <c r="F14" s="22"/>
      <c r="G14" s="22"/>
      <c r="H14" s="22"/>
      <c r="I14" s="22"/>
      <c r="J14" s="68">
        <v>0.5</v>
      </c>
      <c r="K14" s="17">
        <f>I13+J14</f>
        <v>6.75</v>
      </c>
      <c r="L14" s="22"/>
      <c r="M14" s="23">
        <v>4.0</v>
      </c>
      <c r="N14" s="12">
        <f>L13*M14</f>
        <v>524</v>
      </c>
      <c r="O14" s="19">
        <f t="shared" si="1"/>
        <v>3537</v>
      </c>
      <c r="P14" s="36"/>
      <c r="Q14" s="36"/>
      <c r="R14" s="36"/>
      <c r="S14" s="36"/>
      <c r="T14" s="36"/>
    </row>
    <row r="15">
      <c r="A15" s="26"/>
      <c r="B15" s="66" t="s">
        <v>45</v>
      </c>
      <c r="C15" s="63" t="s">
        <v>43</v>
      </c>
      <c r="D15" s="64">
        <f>'sub-image-count-calculator'!I6</f>
        <v>2623</v>
      </c>
      <c r="E15" s="13">
        <v>15.0</v>
      </c>
      <c r="F15" s="26"/>
      <c r="G15" s="26"/>
      <c r="H15" s="26"/>
      <c r="I15" s="26"/>
      <c r="J15" s="17">
        <v>0.5</v>
      </c>
      <c r="K15" s="17">
        <f>I13+J15</f>
        <v>6.75</v>
      </c>
      <c r="L15" s="26"/>
      <c r="M15" s="23">
        <v>5.0</v>
      </c>
      <c r="N15" s="12">
        <f>L13*M15</f>
        <v>655</v>
      </c>
      <c r="O15" s="19">
        <f t="shared" si="1"/>
        <v>4421.25</v>
      </c>
      <c r="P15" s="36"/>
      <c r="Q15" s="36"/>
      <c r="R15" s="36"/>
      <c r="S15" s="36"/>
      <c r="T15" s="36"/>
    </row>
    <row r="16">
      <c r="A16" s="56"/>
      <c r="B16" s="64"/>
      <c r="C16" s="64"/>
      <c r="D16" s="52">
        <f t="shared" ref="D16:D17" si="3">IFNA(0)</f>
        <v>0</v>
      </c>
      <c r="E16" s="29">
        <v>15.0</v>
      </c>
      <c r="F16" s="52">
        <f t="shared" ref="F16:H16" si="2">IFNA(0)</f>
        <v>0</v>
      </c>
      <c r="G16" s="53">
        <f t="shared" si="2"/>
        <v>0</v>
      </c>
      <c r="H16" s="53">
        <f t="shared" si="2"/>
        <v>0</v>
      </c>
      <c r="I16" s="48">
        <f t="shared" ref="I16:I17" si="5">G16*F16/60</f>
        <v>0</v>
      </c>
      <c r="J16" s="54">
        <v>0.5</v>
      </c>
      <c r="K16" s="49">
        <f t="shared" ref="K16:K17" si="6">I16+J16</f>
        <v>0.5</v>
      </c>
      <c r="L16" s="49">
        <f t="shared" ref="L16:L17" si="7">IFERROR(CEILING(#REF!/F16,1), 0)</f>
        <v>0</v>
      </c>
      <c r="M16" s="53">
        <f t="shared" ref="M16:M17" si="8">IFNA(0)</f>
        <v>0</v>
      </c>
      <c r="N16" s="49">
        <f t="shared" ref="N16:N17" si="9">L16*M16</f>
        <v>0</v>
      </c>
      <c r="O16" s="54">
        <f t="shared" ref="O16:O17" si="10">N16*(I16+J16)</f>
        <v>0</v>
      </c>
    </row>
    <row r="17">
      <c r="A17" s="58"/>
      <c r="B17" s="64"/>
      <c r="C17" s="64"/>
      <c r="D17" s="52">
        <f t="shared" si="3"/>
        <v>0</v>
      </c>
      <c r="E17" s="29">
        <v>15.0</v>
      </c>
      <c r="F17" s="52">
        <f t="shared" ref="F17:H17" si="4">IFNA(0)</f>
        <v>0</v>
      </c>
      <c r="G17" s="53">
        <f t="shared" si="4"/>
        <v>0</v>
      </c>
      <c r="H17" s="53">
        <f t="shared" si="4"/>
        <v>0</v>
      </c>
      <c r="I17" s="48">
        <f t="shared" si="5"/>
        <v>0</v>
      </c>
      <c r="J17" s="54">
        <v>0.5</v>
      </c>
      <c r="K17" s="49">
        <f t="shared" si="6"/>
        <v>0.5</v>
      </c>
      <c r="L17" s="49">
        <f t="shared" si="7"/>
        <v>0</v>
      </c>
      <c r="M17" s="53">
        <f t="shared" si="8"/>
        <v>0</v>
      </c>
      <c r="N17" s="49">
        <f t="shared" si="9"/>
        <v>0</v>
      </c>
      <c r="O17" s="54">
        <f t="shared" si="10"/>
        <v>0</v>
      </c>
    </row>
    <row r="19">
      <c r="A19" s="69" t="s">
        <v>49</v>
      </c>
      <c r="B19" s="70"/>
      <c r="C19" s="70"/>
      <c r="D19" s="70"/>
    </row>
    <row r="20">
      <c r="A20" s="44" t="s">
        <v>50</v>
      </c>
      <c r="B20" s="60"/>
      <c r="C20" s="36"/>
      <c r="D20" s="36"/>
      <c r="E20" s="57"/>
      <c r="F20" s="57"/>
      <c r="G20" s="57"/>
      <c r="H20" s="57"/>
      <c r="I20" s="20" t="s">
        <v>14</v>
      </c>
      <c r="J20" s="21"/>
      <c r="K20" s="57"/>
      <c r="L20" s="57"/>
      <c r="M20" s="57"/>
    </row>
    <row r="21" ht="30.75" customHeight="1">
      <c r="A21" s="71" t="s">
        <v>26</v>
      </c>
      <c r="B21" s="72" t="s">
        <v>27</v>
      </c>
      <c r="C21" s="36"/>
      <c r="D21" s="36"/>
      <c r="E21" s="57"/>
      <c r="F21" s="57"/>
      <c r="G21" s="57"/>
      <c r="H21" s="57"/>
      <c r="I21" s="24" t="s">
        <v>15</v>
      </c>
      <c r="J21" s="25">
        <v>10.0</v>
      </c>
      <c r="K21" s="57"/>
      <c r="L21" s="57"/>
    </row>
    <row r="22" ht="54.0" customHeight="1">
      <c r="B22" s="57"/>
      <c r="C22" s="57"/>
      <c r="D22" s="57"/>
      <c r="E22" s="57"/>
      <c r="F22" s="57"/>
      <c r="G22" s="57"/>
      <c r="H22" s="57"/>
      <c r="I22" s="24" t="s">
        <v>16</v>
      </c>
      <c r="J22" s="25">
        <v>10.0</v>
      </c>
      <c r="K22" s="57"/>
      <c r="L22" s="57"/>
    </row>
    <row r="23" ht="32.25" customHeight="1">
      <c r="B23" s="57"/>
      <c r="C23" s="57"/>
      <c r="D23" s="57"/>
      <c r="E23" s="57"/>
      <c r="F23" s="57"/>
      <c r="G23" s="57"/>
      <c r="H23" s="57"/>
      <c r="I23" s="20" t="s">
        <v>18</v>
      </c>
      <c r="J23" s="35">
        <v>15.0</v>
      </c>
      <c r="K23" s="57"/>
      <c r="L23" s="57"/>
    </row>
    <row r="24" ht="40.5" customHeight="1">
      <c r="A24" s="57"/>
      <c r="B24" s="57"/>
      <c r="C24" s="57"/>
      <c r="D24" s="57"/>
      <c r="E24" s="57"/>
      <c r="F24" s="57"/>
      <c r="G24" s="57"/>
      <c r="H24" s="57"/>
      <c r="I24" s="20" t="s">
        <v>51</v>
      </c>
      <c r="J24" s="40">
        <f>J23*J22/60</f>
        <v>2.5</v>
      </c>
      <c r="K24" s="57"/>
      <c r="L24" s="57"/>
    </row>
    <row r="25" ht="15.75" customHeight="1">
      <c r="A25" s="57"/>
      <c r="B25" s="57"/>
      <c r="C25" s="57"/>
      <c r="D25" s="57"/>
      <c r="E25" s="57"/>
      <c r="F25" s="57"/>
      <c r="G25" s="57"/>
      <c r="H25" s="57"/>
      <c r="I25" s="20" t="s">
        <v>20</v>
      </c>
      <c r="J25" s="35">
        <v>0.5</v>
      </c>
      <c r="K25" s="57"/>
      <c r="L25" s="57"/>
    </row>
    <row r="26" ht="30.75" customHeight="1">
      <c r="A26" s="57"/>
      <c r="B26" s="57"/>
      <c r="C26" s="57"/>
      <c r="D26" s="57"/>
      <c r="E26" s="57"/>
      <c r="F26" s="57"/>
      <c r="G26" s="57"/>
      <c r="H26" s="57"/>
      <c r="I26" s="24" t="s">
        <v>22</v>
      </c>
      <c r="J26" s="43">
        <f>J24+J25</f>
        <v>3</v>
      </c>
      <c r="K26" s="57"/>
      <c r="L26" s="57"/>
    </row>
    <row r="27">
      <c r="A27" s="57"/>
      <c r="B27" s="57"/>
      <c r="C27" s="57"/>
      <c r="D27" s="57"/>
      <c r="E27" s="57"/>
      <c r="F27" s="57"/>
      <c r="G27" s="57"/>
      <c r="H27" s="57"/>
      <c r="I27" s="24" t="s">
        <v>23</v>
      </c>
      <c r="J27" s="44">
        <v>3.0</v>
      </c>
      <c r="K27" s="57"/>
      <c r="L27" s="57"/>
    </row>
    <row r="28">
      <c r="A28" s="57"/>
      <c r="B28" s="57"/>
      <c r="C28" s="57"/>
      <c r="D28" s="57"/>
      <c r="E28" s="57"/>
      <c r="F28" s="57"/>
      <c r="G28" s="57"/>
      <c r="H28" s="57"/>
      <c r="I28" s="24" t="s">
        <v>24</v>
      </c>
      <c r="J28" s="40">
        <f>J27*J26</f>
        <v>9</v>
      </c>
      <c r="K28" s="57"/>
      <c r="L28" s="57"/>
    </row>
    <row r="29" ht="45.0" customHeight="1">
      <c r="A29" s="57"/>
      <c r="B29" s="57"/>
      <c r="C29" s="57"/>
      <c r="D29" s="57"/>
      <c r="E29" s="57"/>
      <c r="F29" s="57"/>
      <c r="G29" s="57"/>
      <c r="H29" s="57"/>
      <c r="K29" s="57"/>
      <c r="L29" s="57"/>
    </row>
    <row r="30" ht="48.75" customHeight="1"/>
    <row r="31" ht="15.75" customHeight="1"/>
    <row r="32" ht="15.75" customHeight="1">
      <c r="H32" s="36"/>
    </row>
    <row r="33" ht="15.75" customHeight="1">
      <c r="H33" s="36"/>
    </row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</sheetData>
  <mergeCells count="27">
    <mergeCell ref="I4:I6"/>
    <mergeCell ref="L4:L6"/>
    <mergeCell ref="F4:F6"/>
    <mergeCell ref="F7:F9"/>
    <mergeCell ref="I7:I9"/>
    <mergeCell ref="L7:L9"/>
    <mergeCell ref="L10:L12"/>
    <mergeCell ref="A1:L1"/>
    <mergeCell ref="A2:L2"/>
    <mergeCell ref="R3:T3"/>
    <mergeCell ref="A4:A6"/>
    <mergeCell ref="G4:G6"/>
    <mergeCell ref="H4:H6"/>
    <mergeCell ref="A7:A9"/>
    <mergeCell ref="F10:F12"/>
    <mergeCell ref="F13:F15"/>
    <mergeCell ref="G13:G15"/>
    <mergeCell ref="H13:H15"/>
    <mergeCell ref="L13:L15"/>
    <mergeCell ref="G7:G9"/>
    <mergeCell ref="H7:H9"/>
    <mergeCell ref="A10:A12"/>
    <mergeCell ref="G10:G12"/>
    <mergeCell ref="H10:H12"/>
    <mergeCell ref="I10:I12"/>
    <mergeCell ref="A13:A15"/>
    <mergeCell ref="I13:I15"/>
  </mergeCells>
  <hyperlinks>
    <hyperlink r:id="rId1" ref="B21"/>
  </hyperlinks>
  <printOptions/>
  <pageMargins bottom="0.75" footer="0.0" header="0.0" left="0.7" right="0.7" top="0.75"/>
  <pageSetup orientation="portrait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4.25"/>
    <col customWidth="1" min="7" max="7" width="14.75"/>
    <col customWidth="1" min="12" max="12" width="21.75"/>
  </cols>
  <sheetData>
    <row r="2" ht="33.0" customHeight="1">
      <c r="A2" s="73" t="s">
        <v>52</v>
      </c>
      <c r="B2" s="2"/>
      <c r="C2" s="2"/>
      <c r="D2" s="2"/>
      <c r="E2" s="2"/>
      <c r="F2" s="2"/>
      <c r="G2" s="2"/>
      <c r="H2" s="2"/>
      <c r="I2" s="2"/>
      <c r="J2" s="6"/>
      <c r="L2" s="20" t="s">
        <v>14</v>
      </c>
    </row>
    <row r="3">
      <c r="A3" s="74" t="s">
        <v>53</v>
      </c>
      <c r="B3" s="75" t="s">
        <v>54</v>
      </c>
      <c r="C3" s="75" t="s">
        <v>55</v>
      </c>
      <c r="D3" s="75" t="s">
        <v>56</v>
      </c>
      <c r="E3" s="75" t="s">
        <v>57</v>
      </c>
      <c r="F3" s="75" t="s">
        <v>58</v>
      </c>
      <c r="G3" s="75" t="s">
        <v>59</v>
      </c>
      <c r="H3" s="75" t="s">
        <v>60</v>
      </c>
      <c r="I3" s="76" t="s">
        <v>61</v>
      </c>
      <c r="J3" s="77"/>
      <c r="L3" s="24" t="s">
        <v>62</v>
      </c>
      <c r="M3" s="20" t="s">
        <v>42</v>
      </c>
    </row>
    <row r="4">
      <c r="A4" s="63" t="s">
        <v>42</v>
      </c>
      <c r="B4" s="78">
        <v>16000.0</v>
      </c>
      <c r="C4" s="78">
        <v>16000.0</v>
      </c>
      <c r="D4" s="79">
        <v>400.0</v>
      </c>
      <c r="E4" s="80">
        <v>0.2</v>
      </c>
      <c r="F4" s="79">
        <f t="shared" ref="F4:F9" si="1">D4 * (1-E4)</f>
        <v>320</v>
      </c>
      <c r="G4" s="79">
        <f t="shared" ref="G4:G9" si="2">CEILING(B4/F4,1)+1</f>
        <v>51</v>
      </c>
      <c r="H4" s="79">
        <f t="shared" ref="H4:H9" si="3">CEILING(C4/F4,1)+1</f>
        <v>51</v>
      </c>
      <c r="I4" s="81">
        <f t="shared" ref="I4:I9" si="4">G4*H4</f>
        <v>2601</v>
      </c>
      <c r="J4" s="81"/>
      <c r="L4" s="24" t="s">
        <v>63</v>
      </c>
      <c r="M4" s="20">
        <v>400.0</v>
      </c>
    </row>
    <row r="5">
      <c r="A5" s="63" t="s">
        <v>44</v>
      </c>
      <c r="B5" s="82">
        <v>19094.0</v>
      </c>
      <c r="C5" s="79">
        <v>12918.0</v>
      </c>
      <c r="D5" s="79">
        <v>400.0</v>
      </c>
      <c r="E5" s="80">
        <v>0.2</v>
      </c>
      <c r="F5" s="79">
        <f t="shared" si="1"/>
        <v>320</v>
      </c>
      <c r="G5" s="79">
        <f t="shared" si="2"/>
        <v>61</v>
      </c>
      <c r="H5" s="79">
        <f t="shared" si="3"/>
        <v>42</v>
      </c>
      <c r="I5" s="81">
        <f t="shared" si="4"/>
        <v>2562</v>
      </c>
      <c r="J5" s="81"/>
      <c r="L5" s="20" t="s">
        <v>64</v>
      </c>
      <c r="M5" s="83">
        <v>0.2</v>
      </c>
      <c r="O5" s="20" t="s">
        <v>65</v>
      </c>
    </row>
    <row r="6">
      <c r="A6" s="66" t="s">
        <v>45</v>
      </c>
      <c r="B6" s="78">
        <v>18934.0</v>
      </c>
      <c r="C6" s="78">
        <v>13179.0</v>
      </c>
      <c r="D6" s="78">
        <v>400.0</v>
      </c>
      <c r="E6" s="84">
        <v>0.2</v>
      </c>
      <c r="F6" s="79">
        <f t="shared" si="1"/>
        <v>320</v>
      </c>
      <c r="G6" s="79">
        <f t="shared" si="2"/>
        <v>61</v>
      </c>
      <c r="H6" s="79">
        <f t="shared" si="3"/>
        <v>43</v>
      </c>
      <c r="I6" s="81">
        <f t="shared" si="4"/>
        <v>2623</v>
      </c>
      <c r="J6" s="81"/>
      <c r="L6" s="24" t="s">
        <v>66</v>
      </c>
      <c r="M6" s="70">
        <f>M4*(1-M5)</f>
        <v>320</v>
      </c>
      <c r="O6" s="85" t="s">
        <v>67</v>
      </c>
      <c r="P6" s="86" t="s">
        <v>68</v>
      </c>
      <c r="Q6" s="87" t="s">
        <v>69</v>
      </c>
    </row>
    <row r="7">
      <c r="A7" s="63" t="s">
        <v>44</v>
      </c>
      <c r="B7" s="82">
        <v>19094.0</v>
      </c>
      <c r="C7" s="79">
        <v>12918.0</v>
      </c>
      <c r="D7" s="79">
        <v>300.0</v>
      </c>
      <c r="E7" s="80">
        <v>0.2</v>
      </c>
      <c r="F7" s="79">
        <f t="shared" si="1"/>
        <v>240</v>
      </c>
      <c r="G7" s="79">
        <f t="shared" si="2"/>
        <v>81</v>
      </c>
      <c r="H7" s="79">
        <f t="shared" si="3"/>
        <v>55</v>
      </c>
      <c r="I7" s="81">
        <f t="shared" si="4"/>
        <v>4455</v>
      </c>
      <c r="J7" s="81"/>
      <c r="L7" s="24" t="s">
        <v>70</v>
      </c>
      <c r="M7" s="70">
        <f>CEILING(16000/M6,1)+1</f>
        <v>51</v>
      </c>
      <c r="O7" s="88"/>
      <c r="Q7" s="89"/>
    </row>
    <row r="8">
      <c r="A8" s="63" t="s">
        <v>42</v>
      </c>
      <c r="B8" s="78">
        <v>16000.0</v>
      </c>
      <c r="C8" s="78">
        <v>16000.0</v>
      </c>
      <c r="D8" s="79">
        <v>300.0</v>
      </c>
      <c r="E8" s="80">
        <v>0.2</v>
      </c>
      <c r="F8" s="79">
        <f t="shared" si="1"/>
        <v>240</v>
      </c>
      <c r="G8" s="79">
        <f t="shared" si="2"/>
        <v>68</v>
      </c>
      <c r="H8" s="79">
        <f t="shared" si="3"/>
        <v>68</v>
      </c>
      <c r="I8" s="81">
        <f t="shared" si="4"/>
        <v>4624</v>
      </c>
      <c r="J8" s="81"/>
      <c r="L8" s="24" t="s">
        <v>71</v>
      </c>
      <c r="M8" s="70">
        <f>CEILING(16000/M6,1)+1</f>
        <v>51</v>
      </c>
      <c r="O8" s="88"/>
      <c r="Q8" s="89"/>
    </row>
    <row r="9">
      <c r="A9" s="78" t="s">
        <v>45</v>
      </c>
      <c r="B9" s="78">
        <v>18934.0</v>
      </c>
      <c r="C9" s="78">
        <v>13179.0</v>
      </c>
      <c r="D9" s="78">
        <v>300.0</v>
      </c>
      <c r="E9" s="84">
        <v>0.2</v>
      </c>
      <c r="F9" s="79">
        <f t="shared" si="1"/>
        <v>240</v>
      </c>
      <c r="G9" s="79">
        <f t="shared" si="2"/>
        <v>80</v>
      </c>
      <c r="H9" s="79">
        <f t="shared" si="3"/>
        <v>56</v>
      </c>
      <c r="I9" s="81">
        <f t="shared" si="4"/>
        <v>4480</v>
      </c>
      <c r="J9" s="81"/>
      <c r="L9" s="24" t="s">
        <v>72</v>
      </c>
      <c r="M9" s="70">
        <f>M7*M8</f>
        <v>2601</v>
      </c>
      <c r="O9" s="90"/>
      <c r="P9" s="91"/>
      <c r="Q9" s="92"/>
    </row>
    <row r="13" ht="32.25" customHeight="1"/>
    <row r="15">
      <c r="D15" s="20" t="s">
        <v>73</v>
      </c>
    </row>
  </sheetData>
  <mergeCells count="1">
    <mergeCell ref="A2:J2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46.38"/>
    <col customWidth="1" min="2" max="2" width="23.13"/>
  </cols>
  <sheetData>
    <row r="1">
      <c r="A1" s="93" t="s">
        <v>74</v>
      </c>
      <c r="B1" s="94" t="s">
        <v>75</v>
      </c>
      <c r="C1" s="93"/>
    </row>
    <row r="2">
      <c r="A2" s="95" t="s">
        <v>76</v>
      </c>
      <c r="B2" s="96">
        <v>5.0E10</v>
      </c>
      <c r="C2" s="93"/>
    </row>
    <row r="3">
      <c r="A3" s="97" t="s">
        <v>77</v>
      </c>
      <c r="B3" s="94">
        <v>111000.0</v>
      </c>
      <c r="C3" s="93"/>
    </row>
    <row r="4">
      <c r="A4" s="95" t="s">
        <v>78</v>
      </c>
      <c r="B4" s="98">
        <v>250000.0</v>
      </c>
      <c r="C4" s="93"/>
    </row>
    <row r="5">
      <c r="A5" s="95" t="s">
        <v>79</v>
      </c>
      <c r="B5" s="98">
        <v>250000.0</v>
      </c>
      <c r="C5" s="93"/>
    </row>
    <row r="6">
      <c r="A6" s="99" t="s">
        <v>80</v>
      </c>
      <c r="B6" s="94">
        <v>111000.0</v>
      </c>
      <c r="C6" s="93"/>
    </row>
    <row r="7">
      <c r="A7" s="99" t="s">
        <v>81</v>
      </c>
      <c r="B7" s="94">
        <f>5*B6</f>
        <v>555000</v>
      </c>
      <c r="C7" s="93"/>
    </row>
    <row r="8">
      <c r="A8" s="99" t="s">
        <v>82</v>
      </c>
      <c r="B8" s="94">
        <f>B7*2</f>
        <v>1110000</v>
      </c>
      <c r="C8" s="93"/>
    </row>
    <row r="9">
      <c r="A9" s="99" t="s">
        <v>83</v>
      </c>
      <c r="B9" s="94"/>
      <c r="C9" s="93"/>
    </row>
    <row r="10">
      <c r="A10" s="99" t="s">
        <v>84</v>
      </c>
      <c r="B10" s="100">
        <f>B8*0.000005</f>
        <v>5.55</v>
      </c>
      <c r="C10" s="93"/>
    </row>
    <row r="11">
      <c r="A11" s="99" t="s">
        <v>85</v>
      </c>
      <c r="B11" s="100">
        <f>B8*0.0000004</f>
        <v>0.444</v>
      </c>
      <c r="C11" s="93"/>
    </row>
    <row r="12">
      <c r="A12" s="99" t="s">
        <v>86</v>
      </c>
      <c r="B12" s="94" t="s">
        <v>87</v>
      </c>
      <c r="C12" s="93"/>
    </row>
    <row r="13">
      <c r="A13" s="99" t="s">
        <v>88</v>
      </c>
      <c r="B13" s="94" t="s">
        <v>87</v>
      </c>
      <c r="C13" s="93"/>
    </row>
    <row r="14">
      <c r="A14" s="99" t="s">
        <v>89</v>
      </c>
      <c r="B14" s="101">
        <f>200*0.09</f>
        <v>18</v>
      </c>
      <c r="C14" s="93"/>
    </row>
    <row r="15">
      <c r="A15" s="95"/>
      <c r="B15" s="94"/>
      <c r="C15" s="93"/>
    </row>
    <row r="16">
      <c r="A16" s="99" t="s">
        <v>90</v>
      </c>
      <c r="B16" s="94"/>
      <c r="C16" s="93"/>
    </row>
    <row r="17">
      <c r="A17" s="99" t="s">
        <v>91</v>
      </c>
      <c r="B17" s="96">
        <v>5.0E10</v>
      </c>
      <c r="C17" s="93"/>
    </row>
    <row r="18">
      <c r="A18" s="99" t="s">
        <v>92</v>
      </c>
      <c r="B18" s="96">
        <v>5.0E10</v>
      </c>
      <c r="C18" s="93"/>
    </row>
    <row r="19">
      <c r="A19" s="99" t="s">
        <v>93</v>
      </c>
      <c r="B19" s="101">
        <f>50*4*0.0007</f>
        <v>0.14</v>
      </c>
      <c r="C19" s="93"/>
    </row>
    <row r="20">
      <c r="A20" s="99" t="s">
        <v>93</v>
      </c>
      <c r="B20" s="101">
        <f>50*4*0.002</f>
        <v>0.4</v>
      </c>
      <c r="C20" s="93"/>
    </row>
    <row r="21">
      <c r="A21" s="99" t="s">
        <v>94</v>
      </c>
      <c r="B21" s="101">
        <f>50*0.023</f>
        <v>1.15</v>
      </c>
      <c r="C21" s="93"/>
    </row>
    <row r="22">
      <c r="A22" s="95" t="s">
        <v>95</v>
      </c>
      <c r="B22" s="100">
        <f>SUM(B10:B11,B14,B19:B20)</f>
        <v>24.534</v>
      </c>
      <c r="C22" s="93"/>
    </row>
    <row r="23">
      <c r="A23" s="95"/>
      <c r="B23" s="95"/>
      <c r="C23" s="93"/>
    </row>
    <row r="24">
      <c r="A24" s="93"/>
      <c r="B24" s="93"/>
      <c r="C24" s="93"/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sheetData>
    <row r="2">
      <c r="A2" s="102" t="s">
        <v>96</v>
      </c>
      <c r="B2" s="2"/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6"/>
    </row>
    <row r="3">
      <c r="A3" s="9" t="s">
        <v>97</v>
      </c>
      <c r="B3" s="103" t="s">
        <v>98</v>
      </c>
      <c r="C3" s="103" t="s">
        <v>99</v>
      </c>
      <c r="D3" s="103" t="s">
        <v>100</v>
      </c>
      <c r="E3" s="103" t="s">
        <v>101</v>
      </c>
      <c r="F3" s="103" t="s">
        <v>102</v>
      </c>
      <c r="G3" s="103" t="s">
        <v>103</v>
      </c>
      <c r="H3" s="103" t="s">
        <v>104</v>
      </c>
      <c r="I3" s="103" t="s">
        <v>105</v>
      </c>
      <c r="J3" s="103" t="s">
        <v>106</v>
      </c>
      <c r="K3" s="103"/>
      <c r="L3" s="103"/>
      <c r="M3" s="103"/>
      <c r="N3" s="104" t="s">
        <v>107</v>
      </c>
      <c r="O3" s="2"/>
      <c r="P3" s="6"/>
      <c r="Q3" s="104" t="s">
        <v>108</v>
      </c>
      <c r="R3" s="2"/>
      <c r="S3" s="6"/>
    </row>
    <row r="4">
      <c r="A4" s="105" t="s">
        <v>109</v>
      </c>
      <c r="B4" s="105">
        <v>50.0</v>
      </c>
      <c r="C4" s="106">
        <v>0.023</v>
      </c>
      <c r="D4" s="105">
        <v>100000.0</v>
      </c>
      <c r="E4" s="106">
        <v>5.0E-6</v>
      </c>
      <c r="F4" s="105">
        <v>100000.0</v>
      </c>
      <c r="G4" s="106">
        <v>4.0E-7</v>
      </c>
      <c r="H4" s="106">
        <f>B4*0.0007</f>
        <v>0.035</v>
      </c>
      <c r="I4" s="106">
        <f>B4*0.002</f>
        <v>0.1</v>
      </c>
      <c r="J4" s="107">
        <f>SUM((B4*C4)+(D4*E4)+(F4*G4)+H4+I4)</f>
        <v>1.825</v>
      </c>
      <c r="K4" s="107"/>
      <c r="L4" s="107"/>
      <c r="M4" s="105"/>
      <c r="N4" s="108" t="s">
        <v>110</v>
      </c>
      <c r="O4" s="108" t="s">
        <v>111</v>
      </c>
      <c r="P4" s="108" t="s">
        <v>112</v>
      </c>
      <c r="Q4" s="108" t="s">
        <v>113</v>
      </c>
      <c r="R4" s="108" t="s">
        <v>114</v>
      </c>
      <c r="S4" s="108" t="s">
        <v>112</v>
      </c>
    </row>
    <row r="5">
      <c r="A5" s="109" t="s">
        <v>115</v>
      </c>
      <c r="B5" s="109"/>
      <c r="C5" s="109"/>
      <c r="D5" s="109"/>
      <c r="E5" s="109"/>
      <c r="F5" s="109"/>
      <c r="G5" s="109"/>
      <c r="H5" s="109"/>
      <c r="I5" s="109"/>
      <c r="J5" s="109"/>
      <c r="K5" s="109"/>
      <c r="L5" s="109"/>
      <c r="M5" s="109"/>
      <c r="N5" s="109">
        <f>37*3000</f>
        <v>111000</v>
      </c>
      <c r="O5" s="109">
        <v>300.0</v>
      </c>
      <c r="P5" s="110">
        <f>N5*O5/(1000000)</f>
        <v>33.3</v>
      </c>
      <c r="Q5" s="109">
        <v>15988.0</v>
      </c>
      <c r="R5" s="109">
        <v>200.0</v>
      </c>
      <c r="S5" s="110">
        <f>R5*Q5/(1000000)</f>
        <v>3.1976</v>
      </c>
    </row>
    <row r="6">
      <c r="A6" s="109"/>
      <c r="B6" s="111"/>
      <c r="C6" s="111"/>
      <c r="D6" s="111"/>
      <c r="E6" s="111"/>
      <c r="F6" s="111"/>
      <c r="G6" s="111"/>
      <c r="H6" s="111"/>
      <c r="I6" s="111"/>
      <c r="J6" s="109"/>
      <c r="K6" s="109"/>
      <c r="L6" s="109"/>
      <c r="M6" s="109" t="s">
        <v>116</v>
      </c>
      <c r="N6" s="109">
        <f>N5+Q5</f>
        <v>126988</v>
      </c>
      <c r="O6" s="109"/>
      <c r="P6" s="109"/>
      <c r="Q6" s="109"/>
      <c r="R6" s="109"/>
      <c r="S6" s="109"/>
    </row>
    <row r="7">
      <c r="A7" s="109"/>
      <c r="B7" s="109"/>
      <c r="C7" s="109"/>
      <c r="D7" s="109"/>
      <c r="E7" s="109"/>
      <c r="F7" s="109"/>
      <c r="G7" s="109"/>
      <c r="H7" s="109"/>
      <c r="I7" s="109"/>
      <c r="J7" s="109"/>
      <c r="K7" s="109"/>
      <c r="L7" s="109"/>
      <c r="M7" s="109" t="s">
        <v>117</v>
      </c>
      <c r="N7" s="109">
        <f>Q5</f>
        <v>15988</v>
      </c>
      <c r="O7" s="109"/>
      <c r="P7" s="109"/>
      <c r="Q7" s="109"/>
      <c r="R7" s="109"/>
      <c r="S7" s="109"/>
    </row>
    <row r="8">
      <c r="A8" s="109"/>
      <c r="B8" s="109"/>
      <c r="C8" s="109"/>
      <c r="D8" s="109"/>
      <c r="E8" s="109"/>
      <c r="F8" s="109"/>
      <c r="G8" s="109"/>
      <c r="H8" s="109"/>
      <c r="I8" s="109"/>
      <c r="J8" s="109"/>
      <c r="K8" s="109"/>
      <c r="L8" s="109"/>
      <c r="M8" s="109"/>
      <c r="N8" s="109"/>
      <c r="O8" s="109"/>
      <c r="P8" s="109"/>
      <c r="Q8" s="109"/>
      <c r="R8" s="109"/>
      <c r="S8" s="109"/>
    </row>
    <row r="10">
      <c r="A10" s="36" t="s">
        <v>118</v>
      </c>
      <c r="B10" s="61" t="s">
        <v>119</v>
      </c>
      <c r="C10" s="57"/>
      <c r="D10" s="57"/>
    </row>
  </sheetData>
  <mergeCells count="3">
    <mergeCell ref="A2:S2"/>
    <mergeCell ref="N3:P3"/>
    <mergeCell ref="Q3:S3"/>
  </mergeCells>
  <hyperlinks>
    <hyperlink r:id="rId1" location="/estimate?id=6e04451af4877af09a3e4cfce68d4c60dc2fa05d" ref="B10"/>
  </hyperlinks>
  <drawing r:id="rId2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2021-03-04T23:13:47Z</dcterms:created>
  <dc:creator>exx</dc:creator>
</cp:coreProperties>
</file>